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ebushueva\AppData\Local\Microsoft\Windows\INetCache\Content.Outlook\IKSIJEH0\"/>
    </mc:Choice>
  </mc:AlternateContent>
  <xr:revisionPtr revIDLastSave="0" documentId="13_ncr:1_{AC4B2967-25FE-46A3-AD89-F276C1736317}" xr6:coauthVersionLast="36" xr6:coauthVersionMax="36" xr10:uidLastSave="{00000000-0000-0000-0000-000000000000}"/>
  <bookViews>
    <workbookView xWindow="0" yWindow="0" windowWidth="21570" windowHeight="9315" activeTab="2" xr2:uid="{7B5B75EF-4B3F-BD40-8DEA-466A502A72F8}"/>
  </bookViews>
  <sheets>
    <sheet name="Содержание" sheetId="4" r:id="rId1"/>
    <sheet name="PL" sheetId="3" r:id="rId2"/>
    <sheet name="BS" sheetId="1" r:id="rId3"/>
    <sheet name="CF" sheetId="2" r:id="rId4"/>
    <sheet name="Дополнительные метрики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G9" i="5"/>
  <c r="H46" i="5" l="1"/>
  <c r="H43" i="5"/>
  <c r="H36" i="5"/>
  <c r="H34" i="5"/>
  <c r="H33" i="5"/>
  <c r="H32" i="5"/>
  <c r="H31" i="5"/>
  <c r="H30" i="5"/>
  <c r="G67" i="2"/>
  <c r="G66" i="2"/>
  <c r="G65" i="2"/>
  <c r="G68" i="2" s="1"/>
  <c r="G64" i="2"/>
  <c r="F67" i="2"/>
  <c r="G49" i="2"/>
  <c r="G34" i="2"/>
  <c r="G23" i="2"/>
  <c r="G63" i="1"/>
  <c r="G55" i="1"/>
  <c r="G71" i="1" s="1"/>
  <c r="G38" i="1"/>
  <c r="G41" i="1" s="1"/>
  <c r="G26" i="1"/>
  <c r="G15" i="1"/>
  <c r="G72" i="1" l="1"/>
  <c r="G29" i="1"/>
  <c r="H29" i="5"/>
  <c r="H26" i="5" l="1"/>
  <c r="H44" i="5" s="1"/>
  <c r="H42" i="5" s="1"/>
  <c r="H24" i="5"/>
  <c r="H20" i="5"/>
  <c r="H19" i="5"/>
  <c r="H7" i="5"/>
  <c r="G38" i="3"/>
  <c r="G31" i="3"/>
  <c r="G7" i="3"/>
  <c r="G15" i="3" s="1"/>
  <c r="H23" i="5" s="1"/>
  <c r="H38" i="5" s="1"/>
  <c r="G22" i="3" l="1"/>
  <c r="G24" i="3" s="1"/>
  <c r="H25" i="5"/>
  <c r="G26" i="3" l="1"/>
  <c r="H17" i="5"/>
  <c r="H40" i="5"/>
  <c r="H27" i="5"/>
  <c r="H21" i="5" l="1"/>
  <c r="J35" i="5" l="1"/>
  <c r="B35" i="5"/>
  <c r="J30" i="5"/>
  <c r="J31" i="5"/>
  <c r="J32" i="5"/>
  <c r="J33" i="5"/>
  <c r="J34" i="5"/>
  <c r="J36" i="5"/>
  <c r="I25" i="1"/>
  <c r="J46" i="5"/>
  <c r="J44" i="5"/>
  <c r="J43" i="5"/>
  <c r="J42" i="5" s="1"/>
  <c r="L46" i="5"/>
  <c r="L44" i="5"/>
  <c r="L43" i="5"/>
  <c r="L36" i="5"/>
  <c r="L34" i="5"/>
  <c r="L33" i="5"/>
  <c r="L32" i="5"/>
  <c r="L31" i="5"/>
  <c r="L30" i="5"/>
  <c r="J23" i="5"/>
  <c r="J25" i="5" s="1"/>
  <c r="J27" i="5" s="1"/>
  <c r="L17" i="5"/>
  <c r="L21" i="5" s="1"/>
  <c r="J17" i="5"/>
  <c r="J21" i="5" s="1"/>
  <c r="L7" i="5"/>
  <c r="J7" i="5"/>
  <c r="K66" i="2"/>
  <c r="I66" i="2"/>
  <c r="I57" i="2"/>
  <c r="I45" i="2"/>
  <c r="I37" i="2"/>
  <c r="K11" i="2"/>
  <c r="I11" i="2"/>
  <c r="K63" i="1"/>
  <c r="K52" i="1"/>
  <c r="K55" i="1" s="1"/>
  <c r="K38" i="1"/>
  <c r="K41" i="1" s="1"/>
  <c r="K26" i="1"/>
  <c r="K29" i="1" s="1"/>
  <c r="K9" i="1"/>
  <c r="K38" i="3"/>
  <c r="I38" i="3"/>
  <c r="K31" i="3"/>
  <c r="I31" i="3"/>
  <c r="K15" i="3"/>
  <c r="L23" i="5" s="1"/>
  <c r="L25" i="5" s="1"/>
  <c r="L27" i="5" s="1"/>
  <c r="K7" i="3"/>
  <c r="I7" i="3"/>
  <c r="L42" i="5" l="1"/>
  <c r="L8" i="5"/>
  <c r="J29" i="5"/>
  <c r="J38" i="5" s="1"/>
  <c r="L29" i="5"/>
  <c r="L38" i="5" s="1"/>
  <c r="G7" i="5"/>
  <c r="H8" i="5" l="1"/>
  <c r="J40" i="5"/>
  <c r="L40" i="5"/>
  <c r="E46" i="5"/>
  <c r="F46" i="5"/>
  <c r="G46" i="5"/>
  <c r="D46" i="5"/>
  <c r="G19" i="5" l="1"/>
  <c r="F19" i="5"/>
  <c r="E19" i="5"/>
  <c r="D19" i="5"/>
  <c r="G20" i="5"/>
  <c r="G24" i="5"/>
  <c r="G30" i="5" l="1"/>
  <c r="G31" i="5"/>
  <c r="G32" i="5"/>
  <c r="G33" i="5"/>
  <c r="G34" i="5"/>
  <c r="G36" i="5"/>
  <c r="G44" i="5"/>
  <c r="G43" i="5"/>
  <c r="F23" i="2"/>
  <c r="F63" i="1"/>
  <c r="F26" i="1"/>
  <c r="F10" i="1"/>
  <c r="F9" i="1"/>
  <c r="F15" i="1" s="1"/>
  <c r="F31" i="3"/>
  <c r="G29" i="5" l="1"/>
  <c r="G42" i="5"/>
  <c r="F38" i="3"/>
  <c r="F7" i="3"/>
  <c r="F15" i="3" s="1"/>
  <c r="G23" i="5" l="1"/>
  <c r="G38" i="5" s="1"/>
  <c r="F22" i="3"/>
  <c r="F24" i="3" s="1"/>
  <c r="G25" i="5" l="1"/>
  <c r="G17" i="5"/>
  <c r="F26" i="3"/>
  <c r="G21" i="5" l="1"/>
  <c r="G27" i="5"/>
  <c r="G40" i="5"/>
  <c r="E38" i="3"/>
  <c r="D38" i="3"/>
  <c r="C38" i="3"/>
  <c r="D31" i="3"/>
  <c r="E31" i="3"/>
  <c r="C34" i="3"/>
  <c r="C31" i="3" s="1"/>
  <c r="F44" i="5"/>
  <c r="F43" i="5"/>
  <c r="E44" i="5"/>
  <c r="E43" i="5"/>
  <c r="D44" i="5"/>
  <c r="D43" i="5"/>
  <c r="B44" i="5"/>
  <c r="B43" i="5"/>
  <c r="E23" i="2"/>
  <c r="D23" i="2"/>
  <c r="C23" i="2"/>
  <c r="E42" i="5" l="1"/>
  <c r="D42" i="5"/>
  <c r="F42" i="5"/>
  <c r="F32" i="5"/>
  <c r="B32" i="5"/>
  <c r="E32" i="5"/>
  <c r="D32" i="5"/>
  <c r="F36" i="5"/>
  <c r="E36" i="5"/>
  <c r="D36" i="5"/>
  <c r="F33" i="5"/>
  <c r="E33" i="5"/>
  <c r="D33" i="5"/>
  <c r="B36" i="5"/>
  <c r="F34" i="5"/>
  <c r="E34" i="5"/>
  <c r="D34" i="5"/>
  <c r="F31" i="5"/>
  <c r="E31" i="5"/>
  <c r="D31" i="5"/>
  <c r="F30" i="5"/>
  <c r="E30" i="5"/>
  <c r="D30" i="5"/>
  <c r="D29" i="5" l="1"/>
  <c r="E29" i="5"/>
  <c r="F29" i="5"/>
  <c r="F7" i="5" l="1"/>
  <c r="G8" i="5" s="1"/>
  <c r="E7" i="5"/>
  <c r="D7" i="5"/>
  <c r="E7" i="3"/>
  <c r="E15" i="3" s="1"/>
  <c r="E22" i="3" s="1"/>
  <c r="E24" i="3" s="1"/>
  <c r="E26" i="3" s="1"/>
  <c r="D7" i="3"/>
  <c r="D15" i="3" s="1"/>
  <c r="C7" i="3"/>
  <c r="C15" i="3" s="1"/>
  <c r="C22" i="3" s="1"/>
  <c r="C24" i="3" s="1"/>
  <c r="C26" i="3" s="1"/>
  <c r="D23" i="5" l="1"/>
  <c r="D38" i="5" s="1"/>
  <c r="F8" i="5"/>
  <c r="E8" i="5"/>
  <c r="D22" i="3"/>
  <c r="D24" i="3" s="1"/>
  <c r="E23" i="5"/>
  <c r="F17" i="5"/>
  <c r="F21" i="5" s="1"/>
  <c r="F23" i="5"/>
  <c r="D17" i="5"/>
  <c r="D21" i="5" s="1"/>
  <c r="F25" i="5" l="1"/>
  <c r="F38" i="5"/>
  <c r="E25" i="5"/>
  <c r="E38" i="5"/>
  <c r="D25" i="5"/>
  <c r="D26" i="3"/>
  <c r="E17" i="5"/>
  <c r="E21" i="5" s="1"/>
  <c r="D27" i="5" l="1"/>
  <c r="D40" i="5"/>
  <c r="E27" i="5"/>
  <c r="E40" i="5"/>
  <c r="F27" i="5"/>
  <c r="F40" i="5"/>
</calcChain>
</file>

<file path=xl/sharedStrings.xml><?xml version="1.0" encoding="utf-8"?>
<sst xmlns="http://schemas.openxmlformats.org/spreadsheetml/2006/main" count="251" uniqueCount="199">
  <si>
    <t>Денежные средства и их эквиваленты</t>
  </si>
  <si>
    <t xml:space="preserve">Краткосрочные финансовые вложения </t>
  </si>
  <si>
    <t>Торговая и прочая дебиторская задолженность связанных сторон</t>
  </si>
  <si>
    <t>НДС и прочие налоги к возмещению</t>
  </si>
  <si>
    <t>Текущий налог на прибыль к возмещению</t>
  </si>
  <si>
    <t>Предоплаты</t>
  </si>
  <si>
    <t>Запасы</t>
  </si>
  <si>
    <t>Активы по договорам с покупателями</t>
  </si>
  <si>
    <t>Прочие оборотные активы</t>
  </si>
  <si>
    <t>ОБОРОТНЫЕ АКТИВЫ</t>
  </si>
  <si>
    <t>Активы в форме права пользования</t>
  </si>
  <si>
    <t>Долгосрочная дебиторская задолженность</t>
  </si>
  <si>
    <t>Основные средства</t>
  </si>
  <si>
    <t>Гудвил</t>
  </si>
  <si>
    <t xml:space="preserve">Нематериальные активы </t>
  </si>
  <si>
    <t>Отложенные налоговые активы</t>
  </si>
  <si>
    <t>Прочие внеоборотные активы</t>
  </si>
  <si>
    <t>ВНЕОБОРОТНЫЕ АКТИВЫ</t>
  </si>
  <si>
    <t>Активы, предназначенные для продажи</t>
  </si>
  <si>
    <t>Балансирующая статья</t>
  </si>
  <si>
    <t>Краткосрочные кредиты и займы</t>
  </si>
  <si>
    <t>Краткосрочные обязательства по договорам с покупателями</t>
  </si>
  <si>
    <t>Текущий налог на прибыль к уплате</t>
  </si>
  <si>
    <t>Начисленные обязательства</t>
  </si>
  <si>
    <t>НДС и прочие налоги к уплате</t>
  </si>
  <si>
    <t>Торговая и прочая кредиторская задолженность связанным сторонам</t>
  </si>
  <si>
    <t>Торговая и прочая кредиторская задолженность</t>
  </si>
  <si>
    <t>Чистые активы, приходящиеся на неконтролирующие доли участия</t>
  </si>
  <si>
    <t>Долгосрочные обязательства по договорам с покупателями</t>
  </si>
  <si>
    <t>Долгосрочные кредиты и займы</t>
  </si>
  <si>
    <t>Отложенные налоговые обязательства</t>
  </si>
  <si>
    <t>Долгосрочное вознаграждение сотрудникам</t>
  </si>
  <si>
    <t>Долгосрочные кредиты и займы, полученные от связанных сторон</t>
  </si>
  <si>
    <t>ДОЛГОСРОЧНЫЕ ОБЯЗАТЕЛЬСТВА</t>
  </si>
  <si>
    <t>Дополнительный оплаченный капитал</t>
  </si>
  <si>
    <t>Нераспределенный убыток</t>
  </si>
  <si>
    <t>Нераспределенная прибыль</t>
  </si>
  <si>
    <t>Операционная деятельность</t>
  </si>
  <si>
    <t>Корректировки:</t>
  </si>
  <si>
    <t>Амортизация и обесценение основных средств</t>
  </si>
  <si>
    <t>Амортизация нематериальных активов</t>
  </si>
  <si>
    <t>Амортизация активов в форме права пользования</t>
  </si>
  <si>
    <t>Курсовые разницы</t>
  </si>
  <si>
    <t>Финансовые доходы</t>
  </si>
  <si>
    <t>Финансовые расходы</t>
  </si>
  <si>
    <t>Изменение оборотного капитала:</t>
  </si>
  <si>
    <t>Изменение в прочих активах</t>
  </si>
  <si>
    <t>Полученные проценты</t>
  </si>
  <si>
    <t>Уплаченные проценты</t>
  </si>
  <si>
    <t>Уплаченный налог на прибыль</t>
  </si>
  <si>
    <t>Инвестиционная деятельность</t>
  </si>
  <si>
    <t>Приобретение основных средств</t>
  </si>
  <si>
    <t>Поступления от продажи основных средств</t>
  </si>
  <si>
    <t>Приобретение нематериальных активов</t>
  </si>
  <si>
    <t>Поступления от продажи нематериальных активов</t>
  </si>
  <si>
    <t>Займы, выданные третьим сторонам</t>
  </si>
  <si>
    <t>Поступления по займам, выданным третьим сторонам</t>
  </si>
  <si>
    <t>Выбытие денежных средств при выбытии дочерних организаций</t>
  </si>
  <si>
    <t>Чистые денежные средства, (использованные)/полученные в инвестиционной деятельности</t>
  </si>
  <si>
    <t>Финансовая деятельность</t>
  </si>
  <si>
    <t>Поступления от банковских займов и долговых обязательств</t>
  </si>
  <si>
    <t>Выплата банковских займов и долговых обязательств</t>
  </si>
  <si>
    <t>Погашение обязательств по аренде, не включая проценты</t>
  </si>
  <si>
    <t>Поступления от займов, предоставленных связанными сторонами</t>
  </si>
  <si>
    <t>Выплата займов связанным сторонам</t>
  </si>
  <si>
    <t>Приобретение неконтролирующей доли участия</t>
  </si>
  <si>
    <t>Продажа неконтролирующей доля участия</t>
  </si>
  <si>
    <t>Дивиденды, выплаченные неконтролирующим участникам</t>
  </si>
  <si>
    <t>Распределение дополнительно оплаченного капитала</t>
  </si>
  <si>
    <t>Взнос в дополнительно оплаченные капитал</t>
  </si>
  <si>
    <t>Чистые денежные средства (использованные)/полученные в результате финансовой деятельности</t>
  </si>
  <si>
    <t>Чистое изменение денежных средств и их эквивалентов</t>
  </si>
  <si>
    <t>Чистая курсовая разница</t>
  </si>
  <si>
    <t>Денежные средства и их эквиваленты на начало периода</t>
  </si>
  <si>
    <t>Денежные средства и их эквиваленты на конец периода</t>
  </si>
  <si>
    <t>млн. руб.</t>
  </si>
  <si>
    <t>млн.руб.</t>
  </si>
  <si>
    <t>Выручка по договорам с покупателями</t>
  </si>
  <si>
    <t>Себестоимость продаж</t>
  </si>
  <si>
    <t>Валовая прибыль</t>
  </si>
  <si>
    <t>Административные расходы</t>
  </si>
  <si>
    <t>Амортизация основных средств, нематериальных активов и активов в форме права пользования</t>
  </si>
  <si>
    <t>Расходы на продажу и распространение</t>
  </si>
  <si>
    <t>Затраты на исследования и разработки</t>
  </si>
  <si>
    <t>Прочие операционные доходы</t>
  </si>
  <si>
    <t>Прочие доходы</t>
  </si>
  <si>
    <t>Прочие расходы</t>
  </si>
  <si>
    <t>прирост выручки</t>
  </si>
  <si>
    <t>OIBDA</t>
  </si>
  <si>
    <t>Капитализированные расходы</t>
  </si>
  <si>
    <t>OIBDAC</t>
  </si>
  <si>
    <t>Чистый долг</t>
  </si>
  <si>
    <t>Чистый долг/OIBDA</t>
  </si>
  <si>
    <t xml:space="preserve">Денежные средства и их эквиваленты </t>
  </si>
  <si>
    <t>ед.изм.</t>
  </si>
  <si>
    <t>Долгосрочные обязательства по договорам аренды</t>
  </si>
  <si>
    <t>х</t>
  </si>
  <si>
    <t>%</t>
  </si>
  <si>
    <t>Численность</t>
  </si>
  <si>
    <t>чел.</t>
  </si>
  <si>
    <t>Свободный денежный поток:</t>
  </si>
  <si>
    <t>[1]</t>
  </si>
  <si>
    <t>[2]</t>
  </si>
  <si>
    <t>Расходы на вознаграждения работникам</t>
  </si>
  <si>
    <t>Расходные материалы</t>
  </si>
  <si>
    <t>Субподрядные работы</t>
  </si>
  <si>
    <t>Прочие</t>
  </si>
  <si>
    <t>Себестоимость продаж, в т.ч.:</t>
  </si>
  <si>
    <t>Расходы на оплату труда и содержание персонала, включая налоги</t>
  </si>
  <si>
    <t>Премии и бонусы сотрудникам</t>
  </si>
  <si>
    <t>Расходы на аренду и содержание офиса</t>
  </si>
  <si>
    <t>Профессиональные услуги</t>
  </si>
  <si>
    <t>Начисленные налоги (кроме налога на прибыль)</t>
  </si>
  <si>
    <t>Командировочные и представительские расходы</t>
  </si>
  <si>
    <t>Услуги банков</t>
  </si>
  <si>
    <t>Административные расходы, в т.ч.:</t>
  </si>
  <si>
    <t>ИТОГО КАПИТАЛ</t>
  </si>
  <si>
    <t>Неконтрулирующие доли участников</t>
  </si>
  <si>
    <t>КАПИТАЛ И ОБЯЗАТЕЛЬСТВА</t>
  </si>
  <si>
    <t>ЧИСТЫЕ АКТИВЫ</t>
  </si>
  <si>
    <t>Уставный капитал</t>
  </si>
  <si>
    <t>ИТОГО ЧИСТЫЕ АКТИВЫ</t>
  </si>
  <si>
    <t>ИТОГО ОБЯЗАТЕЛЬСТВА</t>
  </si>
  <si>
    <t>ИТОГО ОБЯЗАТЕЛЬСТВА И КАПИТАЛ</t>
  </si>
  <si>
    <t>ИТОГО АКТИВЫ</t>
  </si>
  <si>
    <t>Чистые денежные средства, полученные от операционной деятельности</t>
  </si>
  <si>
    <t>Детальные расшифровки статей</t>
  </si>
  <si>
    <t>Программа долгосрочной мотивации</t>
  </si>
  <si>
    <t>Торговая и прочая дебиторская задолженность</t>
  </si>
  <si>
    <t>Капитал, относящийся к акционерам материнской организации</t>
  </si>
  <si>
    <t>Итого капитал, относящийся к акционерам материнской компании</t>
  </si>
  <si>
    <t>Доход от выбытия ассоциированной организации</t>
  </si>
  <si>
    <t>Поступления по займам, выданным связанным сторонам</t>
  </si>
  <si>
    <t>Займы, выданные связанным сторонам</t>
  </si>
  <si>
    <t>Амортизация</t>
  </si>
  <si>
    <t>NIC</t>
  </si>
  <si>
    <t>IR@arenadata.io</t>
  </si>
  <si>
    <t xml:space="preserve">Справочно: Чистый долг/Скорр. OIBDA </t>
  </si>
  <si>
    <t>Финансовые показатели</t>
  </si>
  <si>
    <t>Операционные показатели</t>
  </si>
  <si>
    <t>Содержание</t>
  </si>
  <si>
    <t>Заявление об ограничении ответственности</t>
  </si>
  <si>
    <t>Контакты</t>
  </si>
  <si>
    <t xml:space="preserve">Выплаченные дивиденды </t>
  </si>
  <si>
    <t>Скорректированный показатель OIBDA</t>
  </si>
  <si>
    <t>Восстановление / (начисление) резерва по ожидаемым кредитным убыткам</t>
  </si>
  <si>
    <t>На 30 июня 2025 г.</t>
  </si>
  <si>
    <t>Собственные выкупленные акции</t>
  </si>
  <si>
    <t>Краткосрочные обязательства по правам аренды</t>
  </si>
  <si>
    <t>Доход от выбытия актива, предназначенного для продажи</t>
  </si>
  <si>
    <t>Изменение в резерве по ожидаемым кредитным убыткам</t>
  </si>
  <si>
    <t>Убыток от выбытия основных средств и нематериальных активов</t>
  </si>
  <si>
    <t>Прочие неденежные корректировки</t>
  </si>
  <si>
    <t>Инвестиция в совместное предприятие</t>
  </si>
  <si>
    <t>Дивиденды, выплаченные акционерам материнской компании</t>
  </si>
  <si>
    <t>Вклад в дополнительно оплаченный капитал</t>
  </si>
  <si>
    <t>Вложение в уставный капитал</t>
  </si>
  <si>
    <t>На 30 июня 2024 г.</t>
  </si>
  <si>
    <t>Консолидированный отчет о движении денежных средств</t>
  </si>
  <si>
    <t>Консолидированный отчет о финансовом положении</t>
  </si>
  <si>
    <t>За шесть месяцев, закончившихся 30 июня 2024</t>
  </si>
  <si>
    <t>За шесть месяцев, закончившихся 30 июня 2025</t>
  </si>
  <si>
    <t>Операционная прибыль / убыток</t>
  </si>
  <si>
    <t>Прибыль / убыток до налогообложения</t>
  </si>
  <si>
    <t>Прибыль / убыток за период</t>
  </si>
  <si>
    <t>Чистая прибыль / убыток, приходящаяся на собственников материнской компании</t>
  </si>
  <si>
    <t>Уменьшение / увеличение торговой и прочей дебиторской задолженности, авансов выданных</t>
  </si>
  <si>
    <t>Уменьшение / увеличение запасов</t>
  </si>
  <si>
    <t>Уменьшение / увеличение активов по договорам с покупателями</t>
  </si>
  <si>
    <t>Уменьшение / увеличение торговой и прочей кредиторской задолженности, переменной части обязательств по правам аренды</t>
  </si>
  <si>
    <t>Уменьшение / увеличение обязательств по договорам с покупателями</t>
  </si>
  <si>
    <t>Уменьшение / увеличение оценочных обязательств</t>
  </si>
  <si>
    <t>Прибыль / убыток до налогооблажения</t>
  </si>
  <si>
    <t>Чистая прибыль / убыток</t>
  </si>
  <si>
    <t>Краткосрочные кредиты и займы, полученные от связанных сторон</t>
  </si>
  <si>
    <t>Авансы полученные от связанных сторон</t>
  </si>
  <si>
    <t>Долгосрочные обязательства по правам аренды</t>
  </si>
  <si>
    <t>Изменение неконтролирующей доли участия</t>
  </si>
  <si>
    <t>Инвестиции в ассоциированные организации / совместные предприятия</t>
  </si>
  <si>
    <t>Прибыль от выбытия дочерних организаций</t>
  </si>
  <si>
    <t>Доля в прибылях / убытках ассоциированных организаций / совместных предприятий</t>
  </si>
  <si>
    <t>Дополнительные метрики</t>
  </si>
  <si>
    <t>Консолидированный отчет о прибыли или убытке и о совокупном доходе</t>
  </si>
  <si>
    <t>Доля в прибылях (убытке) ассоциированных организаций / совместного предприятия</t>
  </si>
  <si>
    <t>Экономия (расход) по налогу на прибыль</t>
  </si>
  <si>
    <t xml:space="preserve">Прочие </t>
  </si>
  <si>
    <t>Долгосрочный депозит, размещенный у связанной стороны</t>
  </si>
  <si>
    <t>Эмиссионный доход</t>
  </si>
  <si>
    <t>Прибыль от выбытия основных средств и нематериальных активов</t>
  </si>
  <si>
    <t>Приобретение дочернего предприятия, за вычетом полученных денежных средств</t>
  </si>
  <si>
    <t>Выручка по договорам с покупателями, в т.ч.:</t>
  </si>
  <si>
    <t>Лицензии, в т.ч.</t>
  </si>
  <si>
    <t>СУБД</t>
  </si>
  <si>
    <t>Средства управления данными</t>
  </si>
  <si>
    <t>Средства загрузки данных</t>
  </si>
  <si>
    <t xml:space="preserve">   Выполнение работ</t>
  </si>
  <si>
    <t xml:space="preserve">   Работы по технической поддержке</t>
  </si>
  <si>
    <t xml:space="preserve">   Услуги по обучению</t>
  </si>
  <si>
    <t xml:space="preserve">КРАТКОСРОЧНЫЕ ОБЯЗАТЕЛЬСТВА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</si>
</sst>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₽_-;\-* #,##0.00\ _₽_-;_-* &quot;-&quot;??\ _₽_-;_-@_-"/>
    <numFmt numFmtId="164" formatCode="_-* #,##0.00_-;\-* #,##0.00_-;_-* &quot;-&quot;??_-;_-@_-"/>
    <numFmt numFmtId="165" formatCode="#,##0;\(#,##0\);&quot;-&quot;"/>
    <numFmt numFmtId="166" formatCode="0.00\x"/>
    <numFmt numFmtId="167" formatCode="#,##0.0"/>
    <numFmt numFmtId="168" formatCode="0.0"/>
    <numFmt numFmtId="169" formatCode="#,##0.0;\(#,##0.0\);&quot;-&quot;"/>
    <numFmt numFmtId="170" formatCode="_-* #,##0.00_р_._-;\-* #,##0.00_р_._-;_-* &quot;-&quot;??_р_._-;_-@_-"/>
    <numFmt numFmtId="171" formatCode="0.0%"/>
  </numFmts>
  <fonts count="22">
    <font>
      <sz val="12"/>
      <color theme="1"/>
      <name val="Aptos Narrow"/>
      <family val="2"/>
      <charset val="204"/>
      <scheme val="minor"/>
    </font>
    <font>
      <sz val="12"/>
      <color theme="1"/>
      <name val="Aptos Narrow"/>
      <family val="2"/>
      <charset val="204"/>
      <scheme val="minor"/>
    </font>
    <font>
      <u/>
      <sz val="12"/>
      <color theme="10"/>
      <name val="Aptos Narrow"/>
      <family val="2"/>
      <charset val="204"/>
      <scheme val="minor"/>
    </font>
    <font>
      <sz val="12"/>
      <color theme="1"/>
      <name val="Montserrat Regular"/>
      <charset val="204"/>
    </font>
    <font>
      <sz val="8"/>
      <color theme="1"/>
      <name val="Montserrat Regular"/>
      <charset val="204"/>
    </font>
    <font>
      <sz val="10"/>
      <color theme="1"/>
      <name val="Montserrat Regular"/>
      <charset val="204"/>
    </font>
    <font>
      <b/>
      <sz val="10"/>
      <color theme="1"/>
      <name val="Montserrat Regular"/>
      <charset val="204"/>
    </font>
    <font>
      <sz val="10"/>
      <color theme="0"/>
      <name val="Montserrat Regular"/>
      <charset val="204"/>
    </font>
    <font>
      <sz val="8"/>
      <color theme="0" tint="-0.249977111117893"/>
      <name val="Montserrat Regular"/>
      <charset val="204"/>
    </font>
    <font>
      <i/>
      <sz val="8"/>
      <color theme="0" tint="-0.249977111117893"/>
      <name val="Montserrat Regular"/>
      <charset val="204"/>
    </font>
    <font>
      <i/>
      <sz val="10"/>
      <color theme="1"/>
      <name val="Montserrat Regular"/>
      <charset val="204"/>
    </font>
    <font>
      <b/>
      <i/>
      <sz val="10"/>
      <color theme="1"/>
      <name val="Montserrat Regular"/>
      <charset val="204"/>
    </font>
    <font>
      <sz val="9"/>
      <color theme="1"/>
      <name val="Aptos Narrow"/>
      <family val="2"/>
      <charset val="204"/>
      <scheme val="minor"/>
    </font>
    <font>
      <u/>
      <sz val="9"/>
      <color theme="10"/>
      <name val="Aptos Narrow"/>
      <family val="2"/>
      <charset val="204"/>
      <scheme val="minor"/>
    </font>
    <font>
      <b/>
      <sz val="11"/>
      <color theme="1"/>
      <name val="Montserrat Regular"/>
      <charset val="204"/>
    </font>
    <font>
      <sz val="12"/>
      <color theme="1"/>
      <name val="Montserrat"/>
    </font>
    <font>
      <b/>
      <u/>
      <sz val="12"/>
      <color theme="10"/>
      <name val="Montserrat"/>
    </font>
    <font>
      <sz val="10"/>
      <name val="Aptos Narrow"/>
      <family val="2"/>
      <charset val="204"/>
      <scheme val="minor"/>
    </font>
    <font>
      <b/>
      <u/>
      <sz val="12"/>
      <color rgb="FF38A691"/>
      <name val="Montserrat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BD8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21" fillId="0" borderId="0"/>
  </cellStyleXfs>
  <cellXfs count="92">
    <xf numFmtId="0" fontId="0" fillId="0" borderId="0" xfId="0"/>
    <xf numFmtId="0" fontId="4" fillId="0" borderId="0" xfId="0" applyFont="1"/>
    <xf numFmtId="165" fontId="4" fillId="0" borderId="0" xfId="0" applyNumberFormat="1" applyFont="1"/>
    <xf numFmtId="9" fontId="4" fillId="0" borderId="0" xfId="2" applyFont="1"/>
    <xf numFmtId="164" fontId="4" fillId="0" borderId="0" xfId="1" applyFont="1"/>
    <xf numFmtId="165" fontId="5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9" fontId="5" fillId="0" borderId="0" xfId="2" applyFont="1"/>
    <xf numFmtId="165" fontId="5" fillId="0" borderId="0" xfId="0" applyNumberFormat="1" applyFont="1"/>
    <xf numFmtId="0" fontId="5" fillId="0" borderId="0" xfId="0" applyFont="1"/>
    <xf numFmtId="0" fontId="7" fillId="0" borderId="0" xfId="0" applyFont="1"/>
    <xf numFmtId="165" fontId="6" fillId="0" borderId="1" xfId="0" applyNumberFormat="1" applyFont="1" applyBorder="1"/>
    <xf numFmtId="165" fontId="8" fillId="0" borderId="0" xfId="0" applyNumberFormat="1" applyFont="1"/>
    <xf numFmtId="165" fontId="9" fillId="0" borderId="0" xfId="0" applyNumberFormat="1" applyFont="1" applyAlignment="1">
      <alignment vertical="center"/>
    </xf>
    <xf numFmtId="0" fontId="6" fillId="0" borderId="0" xfId="0" applyFont="1"/>
    <xf numFmtId="3" fontId="5" fillId="0" borderId="0" xfId="0" applyNumberFormat="1" applyFont="1"/>
    <xf numFmtId="0" fontId="10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/>
    <xf numFmtId="0" fontId="5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indent="1"/>
    </xf>
    <xf numFmtId="0" fontId="12" fillId="0" borderId="0" xfId="0" applyFont="1" applyAlignment="1">
      <alignment horizontal="right" vertical="center"/>
    </xf>
    <xf numFmtId="0" fontId="13" fillId="0" borderId="0" xfId="3" applyFont="1" applyAlignment="1">
      <alignment horizontal="right" vertical="center"/>
    </xf>
    <xf numFmtId="167" fontId="6" fillId="0" borderId="0" xfId="0" applyNumberFormat="1" applyFont="1"/>
    <xf numFmtId="0" fontId="11" fillId="0" borderId="0" xfId="0" applyFont="1"/>
    <xf numFmtId="168" fontId="6" fillId="0" borderId="0" xfId="0" applyNumberFormat="1" applyFont="1"/>
    <xf numFmtId="168" fontId="5" fillId="0" borderId="0" xfId="0" applyNumberFormat="1" applyFont="1"/>
    <xf numFmtId="167" fontId="5" fillId="0" borderId="0" xfId="0" applyNumberFormat="1" applyFont="1"/>
    <xf numFmtId="167" fontId="6" fillId="0" borderId="1" xfId="0" applyNumberFormat="1" applyFont="1" applyBorder="1"/>
    <xf numFmtId="169" fontId="5" fillId="0" borderId="0" xfId="0" applyNumberFormat="1" applyFont="1"/>
    <xf numFmtId="169" fontId="7" fillId="0" borderId="0" xfId="0" applyNumberFormat="1" applyFont="1"/>
    <xf numFmtId="169" fontId="6" fillId="0" borderId="1" xfId="0" applyNumberFormat="1" applyFont="1" applyBorder="1"/>
    <xf numFmtId="167" fontId="11" fillId="0" borderId="0" xfId="0" applyNumberFormat="1" applyFont="1"/>
    <xf numFmtId="167" fontId="6" fillId="0" borderId="2" xfId="0" applyNumberFormat="1" applyFont="1" applyBorder="1"/>
    <xf numFmtId="167" fontId="6" fillId="0" borderId="3" xfId="0" applyNumberFormat="1" applyFont="1" applyBorder="1"/>
    <xf numFmtId="167" fontId="6" fillId="0" borderId="4" xfId="0" applyNumberFormat="1" applyFont="1" applyBorder="1"/>
    <xf numFmtId="167" fontId="6" fillId="0" borderId="5" xfId="0" applyNumberFormat="1" applyFont="1" applyBorder="1"/>
    <xf numFmtId="165" fontId="6" fillId="0" borderId="3" xfId="0" applyNumberFormat="1" applyFont="1" applyBorder="1"/>
    <xf numFmtId="169" fontId="6" fillId="0" borderId="3" xfId="0" applyNumberFormat="1" applyFont="1" applyBorder="1"/>
    <xf numFmtId="169" fontId="6" fillId="0" borderId="3" xfId="0" applyNumberFormat="1" applyFont="1" applyBorder="1" applyAlignment="1">
      <alignment vertical="center"/>
    </xf>
    <xf numFmtId="169" fontId="6" fillId="0" borderId="0" xfId="0" applyNumberFormat="1" applyFont="1"/>
    <xf numFmtId="9" fontId="10" fillId="0" borderId="0" xfId="2" applyFont="1" applyBorder="1"/>
    <xf numFmtId="3" fontId="10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6" fillId="0" borderId="0" xfId="0" applyNumberFormat="1" applyFont="1"/>
    <xf numFmtId="1" fontId="5" fillId="0" borderId="0" xfId="0" applyNumberFormat="1" applyFont="1"/>
    <xf numFmtId="9" fontId="5" fillId="0" borderId="0" xfId="2" applyFont="1" applyBorder="1"/>
    <xf numFmtId="0" fontId="6" fillId="0" borderId="0" xfId="0" applyFont="1" applyAlignment="1">
      <alignment horizontal="center"/>
    </xf>
    <xf numFmtId="166" fontId="6" fillId="0" borderId="0" xfId="0" applyNumberFormat="1" applyFont="1"/>
    <xf numFmtId="0" fontId="11" fillId="0" borderId="0" xfId="0" applyFont="1" applyAlignment="1">
      <alignment horizontal="center" vertical="center"/>
    </xf>
    <xf numFmtId="0" fontId="14" fillId="0" borderId="0" xfId="0" applyFont="1"/>
    <xf numFmtId="0" fontId="14" fillId="0" borderId="3" xfId="0" applyFont="1" applyBorder="1"/>
    <xf numFmtId="0" fontId="10" fillId="0" borderId="3" xfId="0" applyFont="1" applyBorder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3" fontId="11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/>
    <xf numFmtId="165" fontId="3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3" applyFont="1"/>
    <xf numFmtId="3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6" fontId="10" fillId="0" borderId="0" xfId="0" applyNumberFormat="1" applyFont="1"/>
    <xf numFmtId="0" fontId="17" fillId="4" borderId="0" xfId="0" applyFont="1" applyFill="1"/>
    <xf numFmtId="0" fontId="6" fillId="2" borderId="0" xfId="0" applyFont="1" applyFill="1" applyAlignment="1">
      <alignment horizontal="center" vertical="center" wrapText="1"/>
    </xf>
    <xf numFmtId="0" fontId="18" fillId="3" borderId="0" xfId="3" applyFont="1" applyFill="1"/>
    <xf numFmtId="0" fontId="18" fillId="0" borderId="0" xfId="3" applyFont="1" applyAlignment="1">
      <alignment vertical="center"/>
    </xf>
    <xf numFmtId="169" fontId="5" fillId="0" borderId="0" xfId="0" applyNumberFormat="1" applyFont="1" applyFill="1"/>
    <xf numFmtId="3" fontId="6" fillId="0" borderId="0" xfId="0" applyNumberFormat="1" applyFont="1" applyBorder="1"/>
    <xf numFmtId="0" fontId="10" fillId="0" borderId="0" xfId="0" applyFont="1" applyAlignment="1">
      <alignment horizontal="left" indent="1"/>
    </xf>
    <xf numFmtId="0" fontId="0" fillId="0" borderId="0" xfId="0" applyBorder="1"/>
    <xf numFmtId="165" fontId="6" fillId="0" borderId="3" xfId="0" applyNumberFormat="1" applyFont="1" applyFill="1" applyBorder="1" applyAlignment="1">
      <alignment vertical="center" wrapText="1"/>
    </xf>
    <xf numFmtId="165" fontId="6" fillId="0" borderId="0" xfId="0" applyNumberFormat="1" applyFont="1" applyFill="1"/>
    <xf numFmtId="0" fontId="4" fillId="0" borderId="0" xfId="0" applyFont="1" applyFill="1"/>
    <xf numFmtId="0" fontId="5" fillId="0" borderId="0" xfId="0" applyFont="1" applyFill="1"/>
    <xf numFmtId="165" fontId="6" fillId="0" borderId="3" xfId="0" applyNumberFormat="1" applyFont="1" applyFill="1" applyBorder="1"/>
    <xf numFmtId="169" fontId="6" fillId="0" borderId="3" xfId="0" applyNumberFormat="1" applyFont="1" applyFill="1" applyBorder="1"/>
    <xf numFmtId="3" fontId="10" fillId="0" borderId="0" xfId="0" applyNumberFormat="1" applyFont="1"/>
    <xf numFmtId="171" fontId="0" fillId="0" borderId="0" xfId="2" applyNumberFormat="1" applyFont="1" applyBorder="1"/>
    <xf numFmtId="9" fontId="6" fillId="0" borderId="0" xfId="2" applyFont="1" applyBorder="1"/>
    <xf numFmtId="9" fontId="0" fillId="0" borderId="0" xfId="2" applyFont="1" applyBorder="1"/>
    <xf numFmtId="0" fontId="17" fillId="4" borderId="0" xfId="0" applyFont="1" applyFill="1" applyAlignment="1">
      <alignment horizontal="justify" vertical="justify" wrapText="1"/>
    </xf>
  </cellXfs>
  <cellStyles count="9">
    <cellStyle name="Гиперссылка" xfId="3" builtinId="8"/>
    <cellStyle name="Обычный" xfId="0" builtinId="0"/>
    <cellStyle name="Обычный 130" xfId="4" xr:uid="{29A4D1C5-93E6-435B-8DF8-088D89486C39}"/>
    <cellStyle name="Обычный 14" xfId="8" xr:uid="{34780154-6BA0-4A07-A60B-0B96E6A311B6}"/>
    <cellStyle name="Процентный" xfId="2" builtinId="5"/>
    <cellStyle name="Финансовый" xfId="1" builtinId="3"/>
    <cellStyle name="Финансовый 18" xfId="7" xr:uid="{FB6FF9F3-2731-47B2-95B6-7F61A94E7EC1}"/>
    <cellStyle name="Финансовый 44 2" xfId="6" xr:uid="{A667FDBA-7C47-4DFE-B90F-F5953B178E34}"/>
    <cellStyle name="Финансовый 50" xfId="5" xr:uid="{7C56356A-6E3A-4DC5-996D-A01536BFAE6D}"/>
  </cellStyles>
  <dxfs count="0"/>
  <tableStyles count="0" defaultTableStyle="TableStyleMedium2" defaultPivotStyle="PivotStyleLight16"/>
  <colors>
    <mruColors>
      <color rgb="FF38A6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25400</xdr:rowOff>
    </xdr:to>
    <xdr:sp macro="" textlink="">
      <xdr:nvSpPr>
        <xdr:cNvPr id="4097" name="AutoShape 1" descr="Picture background">
          <a:extLst>
            <a:ext uri="{FF2B5EF4-FFF2-40B4-BE49-F238E27FC236}">
              <a16:creationId xmlns:a16="http://schemas.microsoft.com/office/drawing/2014/main" id="{CC5F5DCE-7F22-590E-D4A4-3B755FF616D6}"/>
            </a:ext>
          </a:extLst>
        </xdr:cNvPr>
        <xdr:cNvSpPr>
          <a:spLocks noChangeAspect="1" noChangeArrowheads="1"/>
        </xdr:cNvSpPr>
      </xdr:nvSpPr>
      <xdr:spPr bwMode="auto">
        <a:xfrm>
          <a:off x="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355600</xdr:colOff>
      <xdr:row>0</xdr:row>
      <xdr:rowOff>127000</xdr:rowOff>
    </xdr:from>
    <xdr:to>
      <xdr:col>1</xdr:col>
      <xdr:colOff>885825</xdr:colOff>
      <xdr:row>3</xdr:row>
      <xdr:rowOff>50399</xdr:rowOff>
    </xdr:to>
    <xdr:pic>
      <xdr:nvPicPr>
        <xdr:cNvPr id="2" name="Рисунок 1" descr="Picture background">
          <a:extLst>
            <a:ext uri="{FF2B5EF4-FFF2-40B4-BE49-F238E27FC236}">
              <a16:creationId xmlns:a16="http://schemas.microsoft.com/office/drawing/2014/main" id="{2DB5FC5D-7434-0B32-14ED-A8E8D2FB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27000"/>
          <a:ext cx="1520825" cy="72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869951</xdr:colOff>
      <xdr:row>18</xdr:row>
      <xdr:rowOff>203199</xdr:rowOff>
    </xdr:from>
    <xdr:to>
      <xdr:col>2</xdr:col>
      <xdr:colOff>3371850</xdr:colOff>
      <xdr:row>25</xdr:row>
      <xdr:rowOff>123824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17E554-CB72-4541-BEE0-C35B38E73EC5}"/>
            </a:ext>
          </a:extLst>
        </xdr:cNvPr>
        <xdr:cNvSpPr txBox="1"/>
      </xdr:nvSpPr>
      <xdr:spPr>
        <a:xfrm>
          <a:off x="869951" y="3860799"/>
          <a:ext cx="4406899" cy="1343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900">
              <a:solidFill>
                <a:schemeClr val="dk1"/>
              </a:solidFill>
              <a:effectLst/>
              <a:latin typeface="Montserrat" pitchFamily="2" charset="-52"/>
              <a:ea typeface="+mn-ea"/>
              <a:cs typeface="+mn-cs"/>
            </a:rPr>
            <a:t>Данный</a:t>
          </a:r>
          <a:r>
            <a:rPr lang="ru-RU" sz="900" baseline="0">
              <a:solidFill>
                <a:schemeClr val="dk1"/>
              </a:solidFill>
              <a:effectLst/>
              <a:latin typeface="Montserrat" pitchFamily="2" charset="-52"/>
              <a:ea typeface="+mn-ea"/>
              <a:cs typeface="+mn-cs"/>
            </a:rPr>
            <a:t> документ</a:t>
          </a:r>
          <a:r>
            <a:rPr lang="ru-RU" sz="900">
              <a:solidFill>
                <a:schemeClr val="dk1"/>
              </a:solidFill>
              <a:effectLst/>
              <a:latin typeface="Montserrat" pitchFamily="2" charset="-52"/>
              <a:ea typeface="+mn-ea"/>
              <a:cs typeface="+mn-cs"/>
            </a:rPr>
            <a:t> включает финансовую информацию, подготовленную в соответствии с международными стандартами финансовой отчетности (МСФО), а также иные финансовые величины, которые упоминаются как не относящиеся к МСФО. Показатели, не являющиеся финансовыми величинами МСФО, должны рассматриваться в качестве дополнения к показателям, подготовленным по МСФО. </a:t>
          </a:r>
          <a:endParaRPr lang="en-US" sz="900">
            <a:solidFill>
              <a:schemeClr val="dk1"/>
            </a:solidFill>
            <a:effectLst/>
            <a:latin typeface="Montserrat" pitchFamily="2" charset="-52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900">
              <a:solidFill>
                <a:schemeClr val="dk1"/>
              </a:solidFill>
              <a:effectLst/>
              <a:latin typeface="Montserrat" pitchFamily="2" charset="-52"/>
              <a:ea typeface="+mn-ea"/>
              <a:cs typeface="+mn-cs"/>
            </a:rPr>
            <a:t>Вследствие округления отдельные величины могут отличаться.</a:t>
          </a:r>
        </a:p>
        <a:p>
          <a:endParaRPr lang="ru-RU" sz="10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@arenadata.io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ACFFB-0FE7-E04B-9C9B-918119008459}">
  <dimension ref="B6:G29"/>
  <sheetViews>
    <sheetView showGridLines="0" workbookViewId="0">
      <selection activeCell="C9" sqref="C9"/>
    </sheetView>
  </sheetViews>
  <sheetFormatPr defaultColWidth="11.44140625" defaultRowHeight="21"/>
  <cols>
    <col min="1" max="1" width="11.44140625" style="67"/>
    <col min="2" max="2" width="13.44140625" style="67" customWidth="1"/>
    <col min="3" max="3" width="60.109375" style="67" customWidth="1"/>
    <col min="4" max="16384" width="11.44140625" style="67"/>
  </cols>
  <sheetData>
    <row r="6" spans="2:3">
      <c r="B6" s="67" t="s">
        <v>140</v>
      </c>
    </row>
    <row r="9" spans="2:3">
      <c r="B9" s="68">
        <v>1</v>
      </c>
      <c r="C9" s="75" t="s">
        <v>182</v>
      </c>
    </row>
    <row r="10" spans="2:3">
      <c r="B10" s="68">
        <v>2</v>
      </c>
      <c r="C10" s="75" t="s">
        <v>159</v>
      </c>
    </row>
    <row r="11" spans="2:3">
      <c r="B11" s="68">
        <v>3</v>
      </c>
      <c r="C11" s="75" t="s">
        <v>158</v>
      </c>
    </row>
    <row r="12" spans="2:3">
      <c r="B12" s="68">
        <v>4</v>
      </c>
      <c r="C12" s="75" t="s">
        <v>181</v>
      </c>
    </row>
    <row r="15" spans="2:3">
      <c r="B15" s="67" t="s">
        <v>142</v>
      </c>
      <c r="C15" s="76" t="s">
        <v>136</v>
      </c>
    </row>
    <row r="16" spans="2:3">
      <c r="C16" s="69"/>
    </row>
    <row r="17" spans="2:7">
      <c r="C17" s="69"/>
    </row>
    <row r="19" spans="2:7">
      <c r="B19" s="67" t="s">
        <v>141</v>
      </c>
      <c r="C19" s="73"/>
      <c r="D19" s="73"/>
      <c r="E19" s="73"/>
      <c r="F19" s="73"/>
      <c r="G19" s="73"/>
    </row>
    <row r="20" spans="2:7">
      <c r="B20" s="91"/>
      <c r="C20" s="91"/>
      <c r="D20" s="91"/>
      <c r="E20" s="91"/>
      <c r="F20" s="91"/>
      <c r="G20" s="91"/>
    </row>
    <row r="21" spans="2:7">
      <c r="B21" s="73"/>
      <c r="C21" s="73"/>
      <c r="D21" s="73"/>
      <c r="E21" s="73"/>
      <c r="F21" s="73"/>
      <c r="G21" s="73"/>
    </row>
    <row r="22" spans="2:7">
      <c r="B22" s="73"/>
      <c r="C22" s="73"/>
      <c r="D22" s="73"/>
      <c r="E22" s="73"/>
      <c r="F22" s="73"/>
      <c r="G22" s="73"/>
    </row>
    <row r="23" spans="2:7">
      <c r="B23" s="73"/>
      <c r="C23" s="73"/>
      <c r="D23" s="73"/>
      <c r="E23" s="73"/>
      <c r="F23" s="73"/>
      <c r="G23" s="73"/>
    </row>
    <row r="24" spans="2:7">
      <c r="B24" s="73"/>
      <c r="C24" s="73"/>
      <c r="D24" s="73"/>
      <c r="E24" s="73"/>
      <c r="F24" s="73"/>
      <c r="G24" s="73"/>
    </row>
    <row r="25" spans="2:7">
      <c r="B25" s="73"/>
      <c r="C25" s="73"/>
      <c r="D25" s="73"/>
      <c r="E25" s="73"/>
      <c r="F25" s="73"/>
      <c r="G25" s="73"/>
    </row>
    <row r="26" spans="2:7">
      <c r="B26" s="73"/>
      <c r="C26" s="73"/>
      <c r="D26" s="73"/>
      <c r="E26" s="73"/>
      <c r="F26" s="73"/>
      <c r="G26" s="73"/>
    </row>
    <row r="27" spans="2:7">
      <c r="B27" s="73"/>
      <c r="C27" s="73"/>
      <c r="D27" s="73"/>
      <c r="E27" s="73"/>
      <c r="F27" s="73"/>
      <c r="G27" s="73"/>
    </row>
    <row r="28" spans="2:7">
      <c r="B28" s="73"/>
      <c r="C28" s="73"/>
      <c r="D28" s="73"/>
      <c r="E28" s="73"/>
      <c r="F28" s="73"/>
      <c r="G28" s="73"/>
    </row>
    <row r="29" spans="2:7">
      <c r="B29" s="73"/>
      <c r="C29" s="73"/>
      <c r="D29" s="73"/>
      <c r="E29" s="73"/>
      <c r="F29" s="73"/>
      <c r="G29" s="73"/>
    </row>
  </sheetData>
  <mergeCells count="1">
    <mergeCell ref="B20:G20"/>
  </mergeCells>
  <hyperlinks>
    <hyperlink ref="C10" location="BS!A1" display="Консолидированный отчет о финансовом положении" xr:uid="{F174D1D0-A195-D84D-9EB8-9966BB376901}"/>
    <hyperlink ref="C9" location="PL!A1" display="Консолидированный отчет о прибыли и убытке и прочем совокупном доходе" xr:uid="{16B2B5FF-86F4-FC42-9CCF-52CFC83E25F7}"/>
    <hyperlink ref="C11" location="CF!A1" display="Консолидированный отчет о движении денежных средств" xr:uid="{0046068A-FB92-F546-B3D6-1A56F2FABDE3}"/>
    <hyperlink ref="C12" location="'Дополнительные метрики'!A1" display="Ключевые финансовые и операционные показатели" xr:uid="{AA7DBA3D-9D5A-424B-B4FC-7E78541EB663}"/>
    <hyperlink ref="C15" r:id="rId1" xr:uid="{B3FBF2CC-1AEE-4561-A3B5-91BA9A5DB98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3BF4-DA4D-BD40-94E8-8CF21F94BF42}">
  <dimension ref="A2:K46"/>
  <sheetViews>
    <sheetView showGridLines="0" zoomScale="78" zoomScaleNormal="78" workbookViewId="0">
      <pane xSplit="2" ySplit="4" topLeftCell="C20" activePane="bottomRight" state="frozen"/>
      <selection activeCell="A31" sqref="A31"/>
      <selection pane="topRight" activeCell="A31" sqref="A31"/>
      <selection pane="bottomLeft" activeCell="A31" sqref="A31"/>
      <selection pane="bottomRight" activeCell="K46" sqref="K46"/>
    </sheetView>
  </sheetViews>
  <sheetFormatPr defaultColWidth="11.44140625" defaultRowHeight="18"/>
  <cols>
    <col min="2" max="2" width="89" style="11" bestFit="1" customWidth="1"/>
    <col min="3" max="5" width="10.88671875" style="11"/>
    <col min="9" max="9" width="16.109375" customWidth="1"/>
    <col min="10" max="10" width="5" customWidth="1"/>
    <col min="11" max="11" width="15.88671875" customWidth="1"/>
  </cols>
  <sheetData>
    <row r="2" spans="1:11">
      <c r="C2" s="5"/>
      <c r="D2" s="5"/>
      <c r="E2" s="5"/>
    </row>
    <row r="3" spans="1:11" ht="65.099999999999994" customHeight="1">
      <c r="B3" s="6" t="s">
        <v>76</v>
      </c>
      <c r="C3" s="7">
        <v>2021</v>
      </c>
      <c r="D3" s="7">
        <v>2022</v>
      </c>
      <c r="E3" s="7">
        <v>2023</v>
      </c>
      <c r="F3" s="7">
        <v>2024</v>
      </c>
      <c r="G3" s="7">
        <v>2025</v>
      </c>
      <c r="I3" s="74" t="s">
        <v>160</v>
      </c>
      <c r="K3" s="74" t="s">
        <v>161</v>
      </c>
    </row>
    <row r="5" spans="1:11">
      <c r="B5" s="16" t="s">
        <v>77</v>
      </c>
      <c r="C5" s="32">
        <v>1554.953</v>
      </c>
      <c r="D5" s="32">
        <v>2494.1239999999998</v>
      </c>
      <c r="E5" s="32">
        <v>3950.6860000000001</v>
      </c>
      <c r="F5" s="32">
        <v>6014.692</v>
      </c>
      <c r="G5" s="32">
        <v>8753.393</v>
      </c>
      <c r="I5" s="32">
        <v>2328.6210000000001</v>
      </c>
      <c r="K5" s="32">
        <v>1356.4259999999999</v>
      </c>
    </row>
    <row r="6" spans="1:11">
      <c r="A6" s="31" t="s">
        <v>101</v>
      </c>
      <c r="B6" s="11" t="s">
        <v>78</v>
      </c>
      <c r="C6" s="36">
        <v>-164.9</v>
      </c>
      <c r="D6" s="36">
        <v>-327.53399999999999</v>
      </c>
      <c r="E6" s="36">
        <v>-260.577</v>
      </c>
      <c r="F6" s="36">
        <v>-481.57400000000001</v>
      </c>
      <c r="G6" s="36">
        <v>-839.09</v>
      </c>
      <c r="I6" s="36">
        <v>-281.87900000000002</v>
      </c>
      <c r="K6" s="36">
        <v>-177.71600000000001</v>
      </c>
    </row>
    <row r="7" spans="1:11">
      <c r="A7" s="30"/>
      <c r="B7" s="16" t="s">
        <v>79</v>
      </c>
      <c r="C7" s="32">
        <f>C5+C6</f>
        <v>1390.0529999999999</v>
      </c>
      <c r="D7" s="32">
        <f>D5+D6</f>
        <v>2166.5899999999997</v>
      </c>
      <c r="E7" s="32">
        <f>E5+E6</f>
        <v>3690.1090000000004</v>
      </c>
      <c r="F7" s="32">
        <f>F5+F6</f>
        <v>5533.1180000000004</v>
      </c>
      <c r="G7" s="32">
        <f>G5+G6</f>
        <v>7914.3029999999999</v>
      </c>
      <c r="I7" s="32">
        <f>I5+I6</f>
        <v>2046.7420000000002</v>
      </c>
      <c r="K7" s="32">
        <f>K5+K6</f>
        <v>1178.71</v>
      </c>
    </row>
    <row r="8" spans="1:11">
      <c r="A8" s="31" t="s">
        <v>102</v>
      </c>
      <c r="B8" s="11" t="s">
        <v>80</v>
      </c>
      <c r="C8" s="36">
        <v>-688.63499999999999</v>
      </c>
      <c r="D8" s="36">
        <v>-1250.2070000000001</v>
      </c>
      <c r="E8" s="36">
        <v>-2004.441</v>
      </c>
      <c r="F8" s="36">
        <v>-3229.922</v>
      </c>
      <c r="G8" s="36">
        <v>-4659.9160000000002</v>
      </c>
      <c r="I8" s="36">
        <v>-1406.7560000000001</v>
      </c>
      <c r="K8" s="36">
        <v>-2262.9189999999999</v>
      </c>
    </row>
    <row r="9" spans="1:11">
      <c r="A9" s="31"/>
      <c r="B9" s="11" t="s">
        <v>127</v>
      </c>
      <c r="C9" s="38">
        <v>0</v>
      </c>
      <c r="D9" s="38">
        <v>0</v>
      </c>
      <c r="E9" s="38">
        <v>0</v>
      </c>
      <c r="F9" s="36">
        <v>-258.34899999999999</v>
      </c>
      <c r="G9" s="36">
        <v>-79.724999999999994</v>
      </c>
      <c r="I9" s="38">
        <v>0</v>
      </c>
      <c r="J9" s="36"/>
      <c r="K9" s="36">
        <v>-55.472000000000001</v>
      </c>
    </row>
    <row r="10" spans="1:11">
      <c r="B10" s="11" t="s">
        <v>81</v>
      </c>
      <c r="C10" s="36">
        <v>-29.372</v>
      </c>
      <c r="D10" s="36">
        <v>-47.966000000000001</v>
      </c>
      <c r="E10" s="36">
        <v>-67.03</v>
      </c>
      <c r="F10" s="36">
        <v>-102.735</v>
      </c>
      <c r="G10" s="36">
        <v>-159.76300000000001</v>
      </c>
      <c r="I10" s="36">
        <v>-47.039000000000001</v>
      </c>
      <c r="J10" s="36"/>
      <c r="K10" s="36">
        <v>-63.753999999999998</v>
      </c>
    </row>
    <row r="11" spans="1:11">
      <c r="B11" s="11" t="s">
        <v>82</v>
      </c>
      <c r="C11" s="36">
        <v>-7.125</v>
      </c>
      <c r="D11" s="36">
        <v>-18.216999999999999</v>
      </c>
      <c r="E11" s="36">
        <v>-29.771000000000001</v>
      </c>
      <c r="F11" s="36">
        <v>-117.657</v>
      </c>
      <c r="G11" s="36">
        <v>-98.980999999999995</v>
      </c>
      <c r="I11" s="36">
        <v>-41.768000000000001</v>
      </c>
      <c r="J11" s="36"/>
      <c r="K11" s="36">
        <v>-56.469000000000001</v>
      </c>
    </row>
    <row r="12" spans="1:11">
      <c r="B12" s="11" t="s">
        <v>83</v>
      </c>
      <c r="C12" s="36">
        <v>-3.4630000000000001</v>
      </c>
      <c r="D12" s="38">
        <v>0</v>
      </c>
      <c r="E12" s="38">
        <v>0</v>
      </c>
      <c r="F12" s="38">
        <v>0</v>
      </c>
      <c r="G12" s="36">
        <v>-8.9350000000000005</v>
      </c>
      <c r="I12" s="38">
        <v>0</v>
      </c>
      <c r="J12" s="36"/>
      <c r="K12" s="38">
        <v>0</v>
      </c>
    </row>
    <row r="13" spans="1:11">
      <c r="B13" s="11" t="s">
        <v>145</v>
      </c>
      <c r="C13" s="38">
        <v>0</v>
      </c>
      <c r="D13" s="38">
        <v>0</v>
      </c>
      <c r="E13" s="38">
        <v>0</v>
      </c>
      <c r="F13" s="36">
        <v>-0.79200000000000004</v>
      </c>
      <c r="G13" s="38">
        <v>0</v>
      </c>
      <c r="I13" s="36">
        <v>-0.79200000000000004</v>
      </c>
      <c r="J13" s="36"/>
      <c r="K13" s="38">
        <v>0</v>
      </c>
    </row>
    <row r="14" spans="1:11">
      <c r="B14" s="11" t="s">
        <v>84</v>
      </c>
      <c r="C14" s="36">
        <v>2.9660000000000002</v>
      </c>
      <c r="D14" s="36">
        <v>6.02</v>
      </c>
      <c r="E14" s="36">
        <v>5.9640000000000004</v>
      </c>
      <c r="F14" s="36">
        <v>7.7160000000000002</v>
      </c>
      <c r="G14" s="36">
        <v>9.6750000000000007</v>
      </c>
      <c r="I14" s="36">
        <v>3793</v>
      </c>
      <c r="K14" s="36">
        <v>5.3970000000000002</v>
      </c>
    </row>
    <row r="15" spans="1:11">
      <c r="B15" s="16" t="s">
        <v>162</v>
      </c>
      <c r="C15" s="32">
        <f>SUM(C7:C14)</f>
        <v>664.42399999999998</v>
      </c>
      <c r="D15" s="32">
        <f>SUM(D7:D14)</f>
        <v>856.21999999999957</v>
      </c>
      <c r="E15" s="32">
        <f>SUM(E7:E14)</f>
        <v>1594.8310000000004</v>
      </c>
      <c r="F15" s="32">
        <f>SUM(F7:F14)</f>
        <v>1831.3790000000006</v>
      </c>
      <c r="G15" s="32">
        <f>SUM(G7:G14)</f>
        <v>2916.6579999999999</v>
      </c>
      <c r="I15" s="32">
        <v>554.17999999999995</v>
      </c>
      <c r="K15" s="32">
        <f>-1254.507</f>
        <v>-1254.5070000000001</v>
      </c>
    </row>
    <row r="16" spans="1:11">
      <c r="B16" s="11" t="s">
        <v>183</v>
      </c>
      <c r="C16" s="36"/>
      <c r="D16" s="36">
        <v>-4.0199999999999996</v>
      </c>
      <c r="E16" s="36">
        <v>16.727</v>
      </c>
      <c r="F16" s="36">
        <v>0</v>
      </c>
      <c r="G16" s="36">
        <v>-100</v>
      </c>
      <c r="I16" s="38">
        <v>0</v>
      </c>
      <c r="K16" s="36">
        <v>-7.5949999999999998</v>
      </c>
    </row>
    <row r="17" spans="1:11">
      <c r="B17" s="11" t="s">
        <v>43</v>
      </c>
      <c r="C17" s="36">
        <v>49.036000000000001</v>
      </c>
      <c r="D17" s="36">
        <v>106.996</v>
      </c>
      <c r="E17" s="36">
        <v>88.963999999999999</v>
      </c>
      <c r="F17" s="36">
        <v>185.31</v>
      </c>
      <c r="G17" s="36">
        <v>381.42599999999999</v>
      </c>
      <c r="I17" s="36">
        <v>91.762</v>
      </c>
      <c r="K17" s="36">
        <v>315.49299999999999</v>
      </c>
    </row>
    <row r="18" spans="1:11">
      <c r="B18" s="11" t="s">
        <v>44</v>
      </c>
      <c r="C18" s="36">
        <v>-46.548999999999999</v>
      </c>
      <c r="D18" s="36">
        <v>-80.162000000000006</v>
      </c>
      <c r="E18" s="36">
        <v>-248.10400000000001</v>
      </c>
      <c r="F18" s="36">
        <v>-222.19800000000001</v>
      </c>
      <c r="G18" s="36">
        <v>-72.236999999999995</v>
      </c>
      <c r="I18" s="36">
        <v>-47.186</v>
      </c>
      <c r="K18" s="36">
        <v>-49.62</v>
      </c>
    </row>
    <row r="19" spans="1:11">
      <c r="B19" s="11" t="s">
        <v>85</v>
      </c>
      <c r="C19" s="36">
        <v>0.21299999999999999</v>
      </c>
      <c r="D19" s="36">
        <v>106.684</v>
      </c>
      <c r="E19" s="36">
        <v>26.664000000000001</v>
      </c>
      <c r="F19" s="36">
        <v>69.355000000000004</v>
      </c>
      <c r="G19" s="36">
        <v>0.58399999999999996</v>
      </c>
      <c r="I19" s="36">
        <v>18.716999999999999</v>
      </c>
      <c r="K19" s="38">
        <v>0</v>
      </c>
    </row>
    <row r="20" spans="1:11">
      <c r="B20" s="11" t="s">
        <v>86</v>
      </c>
      <c r="C20" s="36">
        <v>-3.0000000000000001E-3</v>
      </c>
      <c r="D20" s="36">
        <v>-8.0749999999999993</v>
      </c>
      <c r="E20" s="36">
        <v>-12.404</v>
      </c>
      <c r="F20" s="36">
        <v>-13.989000000000001</v>
      </c>
      <c r="G20" s="36">
        <v>-18.5</v>
      </c>
      <c r="I20" s="36">
        <v>-9.5839999999999996</v>
      </c>
      <c r="K20" s="36">
        <v>-1.6679999999999999</v>
      </c>
    </row>
    <row r="21" spans="1:11">
      <c r="B21" s="11" t="s">
        <v>42</v>
      </c>
      <c r="C21" s="36">
        <v>3.1819999999999999</v>
      </c>
      <c r="D21" s="36">
        <v>3.4660000000000002</v>
      </c>
      <c r="E21" s="36">
        <v>-0.55200000000000005</v>
      </c>
      <c r="F21" s="36">
        <v>0.19</v>
      </c>
      <c r="G21" s="36">
        <v>-0.35299999999999998</v>
      </c>
      <c r="I21" s="36">
        <v>0.20200000000000001</v>
      </c>
      <c r="K21" s="36">
        <v>1.7999999999999999E-2</v>
      </c>
    </row>
    <row r="22" spans="1:11">
      <c r="B22" s="16" t="s">
        <v>163</v>
      </c>
      <c r="C22" s="32">
        <f>SUM(C15:C21)</f>
        <v>670.303</v>
      </c>
      <c r="D22" s="32">
        <f>SUM(D15:D21)</f>
        <v>981.10899999999947</v>
      </c>
      <c r="E22" s="32">
        <f>SUM(E15:E21)</f>
        <v>1466.1260000000004</v>
      </c>
      <c r="F22" s="32">
        <f>SUM(F15:F21)</f>
        <v>1850.0470000000005</v>
      </c>
      <c r="G22" s="32">
        <f>SUM(G15:G21)</f>
        <v>3107.5779999999995</v>
      </c>
      <c r="I22" s="32">
        <v>608.09100000000001</v>
      </c>
      <c r="K22" s="32">
        <v>-997.87900000000002</v>
      </c>
    </row>
    <row r="23" spans="1:11">
      <c r="B23" s="11" t="s">
        <v>184</v>
      </c>
      <c r="C23" s="36">
        <v>-19.094000000000001</v>
      </c>
      <c r="D23" s="36">
        <v>-10.773999999999999</v>
      </c>
      <c r="E23" s="36">
        <v>-9.6929999999999996</v>
      </c>
      <c r="F23" s="36">
        <v>88.375</v>
      </c>
      <c r="G23" s="36">
        <v>-151.99700000000001</v>
      </c>
      <c r="I23" s="36">
        <v>-6.2E-2</v>
      </c>
      <c r="K23" s="36">
        <v>77.834999999999994</v>
      </c>
    </row>
    <row r="24" spans="1:11" ht="18.75" thickBot="1">
      <c r="B24" s="25" t="s">
        <v>164</v>
      </c>
      <c r="C24" s="37">
        <f>SUM(C22:C23)</f>
        <v>651.20899999999995</v>
      </c>
      <c r="D24" s="37">
        <f>SUM(D22:D23)</f>
        <v>970.33499999999947</v>
      </c>
      <c r="E24" s="37">
        <f>SUM(E22:E23)</f>
        <v>1456.4330000000004</v>
      </c>
      <c r="F24" s="37">
        <f>SUM(F22:F23)</f>
        <v>1938.4220000000005</v>
      </c>
      <c r="G24" s="37">
        <f>SUM(G22:G23)</f>
        <v>2955.5809999999997</v>
      </c>
      <c r="I24" s="37">
        <v>608.029</v>
      </c>
      <c r="K24" s="37">
        <v>-920.04399999999998</v>
      </c>
    </row>
    <row r="25" spans="1:11" ht="18.75" thickTop="1">
      <c r="B25" s="16"/>
      <c r="C25" s="36"/>
      <c r="D25" s="36"/>
      <c r="E25" s="36"/>
    </row>
    <row r="26" spans="1:11" ht="18.75" thickBot="1">
      <c r="B26" s="25" t="s">
        <v>165</v>
      </c>
      <c r="C26" s="37">
        <f>C24</f>
        <v>651.20899999999995</v>
      </c>
      <c r="D26" s="37">
        <f>D24</f>
        <v>970.33499999999947</v>
      </c>
      <c r="E26" s="37">
        <f>E24</f>
        <v>1456.4330000000004</v>
      </c>
      <c r="F26" s="37">
        <f>SUM(F24:F25)</f>
        <v>1938.4220000000005</v>
      </c>
      <c r="G26" s="37">
        <f>SUM(G24:G25)</f>
        <v>2955.5809999999997</v>
      </c>
      <c r="I26" s="37">
        <v>620.13199999999995</v>
      </c>
      <c r="K26" s="37">
        <v>-856.34</v>
      </c>
    </row>
    <row r="27" spans="1:11" ht="18.75" thickTop="1"/>
    <row r="29" spans="1:11">
      <c r="B29" s="16" t="s">
        <v>126</v>
      </c>
    </row>
    <row r="30" spans="1:11">
      <c r="B30" s="16"/>
    </row>
    <row r="31" spans="1:11">
      <c r="A31" s="30" t="s">
        <v>101</v>
      </c>
      <c r="B31" s="16" t="s">
        <v>107</v>
      </c>
      <c r="C31" s="34">
        <f>SUM(C32:C35)</f>
        <v>-164.89999999999998</v>
      </c>
      <c r="D31" s="34">
        <f>SUM(D32:D35)</f>
        <v>-327.53399999999993</v>
      </c>
      <c r="E31" s="34">
        <f>SUM(E32:E35)</f>
        <v>-260.577</v>
      </c>
      <c r="F31" s="34">
        <f>SUM(F32:F35)</f>
        <v>-481.57399999999996</v>
      </c>
      <c r="G31" s="34">
        <f>G6</f>
        <v>-839.09</v>
      </c>
      <c r="I31" s="34">
        <f>SUM(I32:I35)</f>
        <v>-281.87900000000002</v>
      </c>
      <c r="K31" s="34">
        <f>SUM(K32:K35)</f>
        <v>-177.715</v>
      </c>
    </row>
    <row r="32" spans="1:11">
      <c r="B32" s="29" t="s">
        <v>103</v>
      </c>
      <c r="C32" s="35">
        <v>-164.59899999999999</v>
      </c>
      <c r="D32" s="35">
        <v>-323.44299999999998</v>
      </c>
      <c r="E32" s="35">
        <v>-226.15799999999999</v>
      </c>
      <c r="F32" s="35">
        <v>-295.31400000000002</v>
      </c>
      <c r="G32" s="35">
        <v>-463.005</v>
      </c>
      <c r="I32" s="35">
        <v>-154.16</v>
      </c>
      <c r="K32" s="35">
        <v>-177.53700000000001</v>
      </c>
    </row>
    <row r="33" spans="1:11">
      <c r="B33" s="29" t="s">
        <v>104</v>
      </c>
      <c r="C33" s="38">
        <v>0</v>
      </c>
      <c r="D33" s="35">
        <v>-3.8279999999999998</v>
      </c>
      <c r="E33" s="35">
        <v>-3.8719999999999999</v>
      </c>
      <c r="F33" s="35">
        <v>-6.0000000000000001E-3</v>
      </c>
      <c r="G33" s="35">
        <v>0</v>
      </c>
      <c r="I33" s="38">
        <v>0</v>
      </c>
      <c r="K33" s="38">
        <v>0</v>
      </c>
    </row>
    <row r="34" spans="1:11">
      <c r="B34" s="29" t="s">
        <v>105</v>
      </c>
      <c r="C34" s="35">
        <f>-301/1000</f>
        <v>-0.30099999999999999</v>
      </c>
      <c r="D34" s="35">
        <v>-0.26300000000000001</v>
      </c>
      <c r="E34" s="35">
        <v>-28.146000000000001</v>
      </c>
      <c r="F34" s="35">
        <v>-186.20099999999999</v>
      </c>
      <c r="G34" s="35">
        <v>-376.05099999999999</v>
      </c>
      <c r="I34" s="35">
        <v>-127.71899999999999</v>
      </c>
      <c r="K34" s="35">
        <v>-0.17799999999999999</v>
      </c>
    </row>
    <row r="35" spans="1:11">
      <c r="B35" s="29" t="s">
        <v>106</v>
      </c>
      <c r="C35" s="38">
        <v>0</v>
      </c>
      <c r="D35" s="38">
        <v>0</v>
      </c>
      <c r="E35" s="35">
        <v>-2.4009999999999998</v>
      </c>
      <c r="F35" s="35">
        <v>-5.2999999999999999E-2</v>
      </c>
      <c r="G35" s="35">
        <v>3.4000000000000002E-2</v>
      </c>
      <c r="I35" s="35"/>
      <c r="K35" s="35"/>
    </row>
    <row r="38" spans="1:11">
      <c r="A38" s="30" t="s">
        <v>102</v>
      </c>
      <c r="B38" s="16" t="s">
        <v>115</v>
      </c>
      <c r="C38" s="32">
        <f>SUM(C39:C45)</f>
        <v>-688.63499999999999</v>
      </c>
      <c r="D38" s="32">
        <f>SUM(D39:D45)</f>
        <v>-1250.2070000000001</v>
      </c>
      <c r="E38" s="32">
        <f>SUM(E39:E45)</f>
        <v>-2004.441</v>
      </c>
      <c r="F38" s="32">
        <f>SUM(F39:F45)</f>
        <v>-3229.922</v>
      </c>
      <c r="G38" s="32">
        <f>G8</f>
        <v>-4659.9160000000002</v>
      </c>
      <c r="I38" s="32">
        <f>SUM(I39:I45)</f>
        <v>-1406.7560000000001</v>
      </c>
      <c r="K38" s="32">
        <f>SUM(K39:K45)</f>
        <v>-2262.9190000000003</v>
      </c>
    </row>
    <row r="39" spans="1:11">
      <c r="B39" s="29" t="s">
        <v>108</v>
      </c>
      <c r="C39" s="36">
        <v>-326.74200000000002</v>
      </c>
      <c r="D39" s="36">
        <v>-751.16899999999998</v>
      </c>
      <c r="E39" s="36">
        <v>-1319.816</v>
      </c>
      <c r="F39" s="36">
        <v>-2221.973</v>
      </c>
      <c r="G39" s="36">
        <v>-3453.3510000000001</v>
      </c>
      <c r="I39" s="17">
        <v>-967.42700000000002</v>
      </c>
      <c r="K39" s="17">
        <v>-1630.654</v>
      </c>
    </row>
    <row r="40" spans="1:11">
      <c r="B40" s="29" t="s">
        <v>109</v>
      </c>
      <c r="C40" s="36">
        <v>-218.815</v>
      </c>
      <c r="D40" s="36">
        <v>-320.62200000000001</v>
      </c>
      <c r="E40" s="36">
        <v>-375.50099999999998</v>
      </c>
      <c r="F40" s="36">
        <v>-541.36400000000003</v>
      </c>
      <c r="G40" s="36">
        <v>-631.34100000000001</v>
      </c>
      <c r="I40" s="17">
        <v>-248.59</v>
      </c>
      <c r="K40" s="17">
        <v>-342.50900000000001</v>
      </c>
    </row>
    <row r="41" spans="1:11">
      <c r="B41" s="29" t="s">
        <v>110</v>
      </c>
      <c r="C41" s="36">
        <v>-34.499000000000002</v>
      </c>
      <c r="D41" s="36">
        <v>-76.451999999999998</v>
      </c>
      <c r="E41" s="36">
        <v>-129.727</v>
      </c>
      <c r="F41" s="36">
        <v>-135.63200000000001</v>
      </c>
      <c r="G41" s="36">
        <v>-191.46</v>
      </c>
      <c r="I41" s="17">
        <v>-56.421999999999997</v>
      </c>
      <c r="K41" s="17">
        <v>-80.251999999999995</v>
      </c>
    </row>
    <row r="42" spans="1:11">
      <c r="B42" s="29" t="s">
        <v>111</v>
      </c>
      <c r="C42" s="36">
        <v>-77.885999999999996</v>
      </c>
      <c r="D42" s="36">
        <v>-67.727999999999994</v>
      </c>
      <c r="E42" s="36">
        <v>-119.999</v>
      </c>
      <c r="F42" s="36">
        <v>-235.898</v>
      </c>
      <c r="G42" s="36">
        <v>-270.74099999999999</v>
      </c>
      <c r="I42" s="17">
        <v>-93.728999999999999</v>
      </c>
      <c r="K42" s="17">
        <v>-163.22399999999999</v>
      </c>
    </row>
    <row r="43" spans="1:11">
      <c r="B43" s="29" t="s">
        <v>112</v>
      </c>
      <c r="C43" s="36">
        <v>-25.922999999999998</v>
      </c>
      <c r="D43" s="36">
        <v>-26.547000000000001</v>
      </c>
      <c r="E43" s="36">
        <v>-43.927</v>
      </c>
      <c r="F43" s="36">
        <v>-69.215999999999994</v>
      </c>
      <c r="G43" s="36">
        <v>-60.314</v>
      </c>
      <c r="I43" s="17">
        <v>-33.280999999999999</v>
      </c>
      <c r="K43" s="17">
        <v>-23.103999999999999</v>
      </c>
    </row>
    <row r="44" spans="1:11">
      <c r="B44" s="29" t="s">
        <v>113</v>
      </c>
      <c r="C44" s="36">
        <v>-4.5960000000000001</v>
      </c>
      <c r="D44" s="36">
        <v>-7.4020000000000001</v>
      </c>
      <c r="E44" s="36">
        <v>-15.025</v>
      </c>
      <c r="F44" s="36">
        <v>-25.375</v>
      </c>
      <c r="G44" s="36">
        <v>-51.848999999999997</v>
      </c>
      <c r="I44" s="17">
        <v>-7.08</v>
      </c>
      <c r="K44" s="17">
        <v>-22.829000000000001</v>
      </c>
    </row>
    <row r="45" spans="1:11">
      <c r="B45" s="29" t="s">
        <v>114</v>
      </c>
      <c r="C45" s="36">
        <v>-0.17399999999999999</v>
      </c>
      <c r="D45" s="36">
        <v>-0.28699999999999998</v>
      </c>
      <c r="E45" s="36">
        <v>-0.44600000000000001</v>
      </c>
      <c r="F45" s="36">
        <v>-0.46400000000000002</v>
      </c>
      <c r="G45" s="36">
        <v>-0.84</v>
      </c>
      <c r="I45" s="36">
        <v>-0.22700000000000001</v>
      </c>
      <c r="K45" s="36">
        <v>-0.34699999999999998</v>
      </c>
    </row>
    <row r="46" spans="1:11">
      <c r="B46" s="29" t="s">
        <v>185</v>
      </c>
      <c r="D46" s="38">
        <v>0</v>
      </c>
      <c r="E46" s="38">
        <v>0</v>
      </c>
      <c r="F46" s="38">
        <v>0</v>
      </c>
      <c r="G46" s="36">
        <v>-0.02</v>
      </c>
      <c r="I46" s="38">
        <v>0</v>
      </c>
      <c r="K46" s="38">
        <v>0</v>
      </c>
    </row>
  </sheetData>
  <hyperlinks>
    <hyperlink ref="A6" location="PL!A29" display="[1]" xr:uid="{8787EA9B-95CB-BA4F-A3AA-835A2ABE4472}"/>
    <hyperlink ref="A8" location="PL!A36" display="[2]" xr:uid="{1848C5C0-CC25-504F-8255-ABB5DCE727D8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59FC-5142-3E4D-A9EB-E6AB78846ABF}">
  <dimension ref="B1:K76"/>
  <sheetViews>
    <sheetView showGridLines="0" tabSelected="1" workbookViewId="0">
      <pane xSplit="2" ySplit="4" topLeftCell="C44" activePane="bottomRight" state="frozen"/>
      <selection activeCell="A31" sqref="A31"/>
      <selection pane="topRight" activeCell="A31" sqref="A31"/>
      <selection pane="bottomLeft" activeCell="A31" sqref="A31"/>
      <selection pane="bottomRight" activeCell="C55" activeCellId="2" sqref="C69 C63 C55"/>
    </sheetView>
  </sheetViews>
  <sheetFormatPr defaultColWidth="11.44140625" defaultRowHeight="17.25"/>
  <cols>
    <col min="2" max="2" width="62.6640625" style="1" customWidth="1"/>
    <col min="3" max="4" width="8.6640625" style="1"/>
    <col min="5" max="6" width="9.6640625" style="1" bestFit="1" customWidth="1"/>
    <col min="7" max="7" width="9.6640625" style="1" customWidth="1"/>
    <col min="9" max="9" width="18.109375" bestFit="1" customWidth="1"/>
    <col min="10" max="10" width="6.6640625" customWidth="1"/>
    <col min="11" max="11" width="18" style="1" bestFit="1" customWidth="1"/>
    <col min="13" max="13" width="6.6640625" customWidth="1"/>
  </cols>
  <sheetData>
    <row r="1" spans="2:11">
      <c r="C1" s="2"/>
      <c r="D1" s="3"/>
      <c r="E1" s="4"/>
      <c r="F1" s="4"/>
      <c r="G1" s="4"/>
      <c r="K1" s="4"/>
    </row>
    <row r="2" spans="2:11" ht="18">
      <c r="C2" s="5"/>
      <c r="D2" s="5"/>
      <c r="E2" s="5"/>
      <c r="F2" s="5"/>
      <c r="G2" s="5"/>
      <c r="K2" s="5"/>
    </row>
    <row r="3" spans="2:11" ht="16.5">
      <c r="B3" s="6" t="s">
        <v>76</v>
      </c>
      <c r="C3" s="7">
        <v>2021</v>
      </c>
      <c r="D3" s="7">
        <v>2022</v>
      </c>
      <c r="E3" s="7">
        <v>2023</v>
      </c>
      <c r="F3" s="7">
        <v>2024</v>
      </c>
      <c r="G3" s="7">
        <v>2025</v>
      </c>
      <c r="I3" s="7" t="s">
        <v>157</v>
      </c>
      <c r="K3" s="7" t="s">
        <v>146</v>
      </c>
    </row>
    <row r="4" spans="2:11" ht="18">
      <c r="B4" s="8"/>
      <c r="C4" s="9"/>
      <c r="D4" s="9"/>
      <c r="E4" s="9"/>
      <c r="F4" s="9"/>
      <c r="G4" s="9"/>
      <c r="K4" s="9"/>
    </row>
    <row r="5" spans="2:11" ht="18">
      <c r="B5" s="8" t="s">
        <v>0</v>
      </c>
      <c r="C5" s="38">
        <v>1194.4190000000001</v>
      </c>
      <c r="D5" s="38">
        <v>1781.721</v>
      </c>
      <c r="E5" s="38">
        <v>1251.248</v>
      </c>
      <c r="F5" s="38">
        <v>1365.9369999999999</v>
      </c>
      <c r="G5" s="38">
        <v>3074.2190000000001</v>
      </c>
      <c r="I5" s="38">
        <v>150.322</v>
      </c>
      <c r="K5" s="38">
        <v>695.97699999999998</v>
      </c>
    </row>
    <row r="6" spans="2:11" ht="18">
      <c r="B6" s="8" t="s">
        <v>1</v>
      </c>
      <c r="C6" s="38">
        <v>0</v>
      </c>
      <c r="D6" s="38">
        <v>0</v>
      </c>
      <c r="E6" s="38">
        <v>0.15</v>
      </c>
      <c r="F6" s="38">
        <v>0</v>
      </c>
      <c r="G6" s="38">
        <v>0</v>
      </c>
      <c r="I6" s="38">
        <v>0.45</v>
      </c>
      <c r="K6" s="38">
        <v>0</v>
      </c>
    </row>
    <row r="7" spans="2:11" ht="18">
      <c r="B7" s="8" t="s">
        <v>128</v>
      </c>
      <c r="C7" s="38">
        <v>229.446</v>
      </c>
      <c r="D7" s="38">
        <v>576.95399999999995</v>
      </c>
      <c r="E7" s="38">
        <v>858.39099999999996</v>
      </c>
      <c r="F7" s="38">
        <v>2472.6880000000001</v>
      </c>
      <c r="G7" s="38">
        <v>2910.8290000000002</v>
      </c>
      <c r="I7" s="38">
        <v>1427.45</v>
      </c>
      <c r="K7" s="38">
        <v>998.29100000000005</v>
      </c>
    </row>
    <row r="8" spans="2:11" ht="18">
      <c r="B8" s="8" t="s">
        <v>2</v>
      </c>
      <c r="C8" s="38">
        <v>376.483</v>
      </c>
      <c r="D8" s="38">
        <v>352.55599999999998</v>
      </c>
      <c r="E8" s="38">
        <v>826.35900000000004</v>
      </c>
      <c r="F8" s="38">
        <v>27.178000000000001</v>
      </c>
      <c r="G8" s="38">
        <v>2.8919999999999999</v>
      </c>
      <c r="I8" s="38">
        <v>395.71</v>
      </c>
      <c r="K8" s="38">
        <v>56.938000000000002</v>
      </c>
    </row>
    <row r="9" spans="2:11" ht="18">
      <c r="B9" s="8" t="s">
        <v>3</v>
      </c>
      <c r="C9" s="38">
        <v>6.6639999999999997</v>
      </c>
      <c r="D9" s="38">
        <v>3.2810000000000001</v>
      </c>
      <c r="E9" s="38">
        <v>2.6080000000000001</v>
      </c>
      <c r="F9" s="38">
        <f>87/1000</f>
        <v>8.6999999999999994E-2</v>
      </c>
      <c r="G9" s="38">
        <v>29.457999999999998</v>
      </c>
      <c r="I9" s="38">
        <v>0.53100000000000003</v>
      </c>
      <c r="K9" s="38">
        <f>129/1000</f>
        <v>0.129</v>
      </c>
    </row>
    <row r="10" spans="2:11" ht="18">
      <c r="B10" s="8" t="s">
        <v>4</v>
      </c>
      <c r="C10" s="38">
        <v>10.656000000000001</v>
      </c>
      <c r="D10" s="38">
        <v>0.92100000000000004</v>
      </c>
      <c r="E10" s="38">
        <v>6.9039999999999999</v>
      </c>
      <c r="F10" s="38">
        <f>79/1000</f>
        <v>7.9000000000000001E-2</v>
      </c>
      <c r="G10" s="38">
        <v>25.972999999999999</v>
      </c>
      <c r="I10" s="38">
        <v>0</v>
      </c>
      <c r="K10" s="38">
        <v>6.3140000000000001</v>
      </c>
    </row>
    <row r="11" spans="2:11" ht="18">
      <c r="B11" s="8" t="s">
        <v>5</v>
      </c>
      <c r="C11" s="38">
        <v>13.138999999999999</v>
      </c>
      <c r="D11" s="38">
        <v>6.9340000000000002</v>
      </c>
      <c r="E11" s="38">
        <v>10.138999999999999</v>
      </c>
      <c r="F11" s="38">
        <v>21.178000000000001</v>
      </c>
      <c r="G11" s="38">
        <v>19.943999999999999</v>
      </c>
      <c r="I11" s="38">
        <v>22.859000000000002</v>
      </c>
      <c r="K11" s="38">
        <v>25.216999999999999</v>
      </c>
    </row>
    <row r="12" spans="2:11" ht="18">
      <c r="B12" s="8" t="s">
        <v>6</v>
      </c>
      <c r="C12" s="38">
        <v>0</v>
      </c>
      <c r="D12" s="38">
        <v>0.222</v>
      </c>
      <c r="E12" s="38">
        <v>4.8239999999999998</v>
      </c>
      <c r="F12" s="38">
        <v>6.3819999999999997</v>
      </c>
      <c r="G12" s="38">
        <v>32.485999999999997</v>
      </c>
      <c r="I12" s="38">
        <v>2.1749999999999998</v>
      </c>
      <c r="K12" s="38">
        <v>3.29</v>
      </c>
    </row>
    <row r="13" spans="2:11" ht="18">
      <c r="B13" s="8" t="s">
        <v>7</v>
      </c>
      <c r="C13" s="38">
        <v>0</v>
      </c>
      <c r="D13" s="38">
        <v>12.154</v>
      </c>
      <c r="E13" s="38">
        <v>6.9729999999999999</v>
      </c>
      <c r="F13" s="38">
        <v>17.065999999999999</v>
      </c>
      <c r="G13" s="38">
        <v>45.585000000000001</v>
      </c>
      <c r="I13" s="38">
        <v>29.577000000000002</v>
      </c>
      <c r="K13" s="38">
        <v>16.042000000000002</v>
      </c>
    </row>
    <row r="14" spans="2:11" ht="18">
      <c r="B14" s="8" t="s">
        <v>8</v>
      </c>
      <c r="C14" s="38">
        <v>5.5259999999999998</v>
      </c>
      <c r="D14" s="38">
        <v>2.0369999999999999</v>
      </c>
      <c r="E14" s="38">
        <v>0.40400000000000003</v>
      </c>
      <c r="F14" s="38">
        <v>0.122</v>
      </c>
      <c r="G14" s="38">
        <v>15.278</v>
      </c>
      <c r="I14" s="38">
        <v>0.29899999999999999</v>
      </c>
      <c r="K14" s="38">
        <v>12.811999999999999</v>
      </c>
    </row>
    <row r="15" spans="2:11" ht="18">
      <c r="B15" s="46" t="s">
        <v>9</v>
      </c>
      <c r="C15" s="47">
        <v>1836.3329999999999</v>
      </c>
      <c r="D15" s="47">
        <v>2736.78</v>
      </c>
      <c r="E15" s="47">
        <v>2968</v>
      </c>
      <c r="F15" s="47">
        <f>SUM(F5:F14)</f>
        <v>3910.7169999999996</v>
      </c>
      <c r="G15" s="47">
        <f>SUM(G5:G14)</f>
        <v>6156.6640000000007</v>
      </c>
      <c r="I15" s="47">
        <v>2029.373</v>
      </c>
      <c r="K15" s="47">
        <v>1815.01</v>
      </c>
    </row>
    <row r="16" spans="2:11" ht="18">
      <c r="B16" s="11"/>
      <c r="C16" s="38"/>
      <c r="D16" s="38"/>
      <c r="E16" s="38"/>
      <c r="F16" s="38"/>
      <c r="G16" s="38"/>
      <c r="I16" s="38"/>
      <c r="K16" s="38"/>
    </row>
    <row r="17" spans="2:11" ht="18">
      <c r="B17" s="8" t="s">
        <v>178</v>
      </c>
      <c r="C17" s="38">
        <v>0</v>
      </c>
      <c r="D17" s="38">
        <v>44.369</v>
      </c>
      <c r="E17" s="38">
        <v>0</v>
      </c>
      <c r="F17" s="38">
        <v>0</v>
      </c>
      <c r="G17" s="38">
        <v>0</v>
      </c>
      <c r="I17" s="38">
        <v>0</v>
      </c>
      <c r="K17" s="38">
        <v>92.405000000000001</v>
      </c>
    </row>
    <row r="18" spans="2:11" ht="18">
      <c r="B18" s="8" t="s">
        <v>10</v>
      </c>
      <c r="C18" s="38">
        <v>124.595</v>
      </c>
      <c r="D18" s="38">
        <v>119.992</v>
      </c>
      <c r="E18" s="38">
        <v>102.47199999999999</v>
      </c>
      <c r="F18" s="38">
        <v>100.554</v>
      </c>
      <c r="G18" s="38">
        <v>113.3</v>
      </c>
      <c r="I18" s="38">
        <v>112.098</v>
      </c>
      <c r="K18" s="38">
        <v>86.459000000000003</v>
      </c>
    </row>
    <row r="19" spans="2:11" ht="18">
      <c r="B19" s="8" t="s">
        <v>11</v>
      </c>
      <c r="C19" s="38">
        <v>0</v>
      </c>
      <c r="D19" s="38">
        <v>0</v>
      </c>
      <c r="E19" s="38">
        <v>12.72</v>
      </c>
      <c r="F19" s="38">
        <v>129.30600000000001</v>
      </c>
      <c r="G19" s="38">
        <v>22.04</v>
      </c>
      <c r="I19" s="38">
        <v>267.78300000000002</v>
      </c>
      <c r="K19" s="38">
        <v>176.33699999999999</v>
      </c>
    </row>
    <row r="20" spans="2:11" ht="18">
      <c r="B20" s="8" t="s">
        <v>12</v>
      </c>
      <c r="C20" s="38">
        <v>22.135999999999999</v>
      </c>
      <c r="D20" s="38">
        <v>36.215000000000003</v>
      </c>
      <c r="E20" s="38">
        <v>53.997</v>
      </c>
      <c r="F20" s="38">
        <v>73.085999999999999</v>
      </c>
      <c r="G20" s="38">
        <v>90.882000000000005</v>
      </c>
      <c r="I20" s="38">
        <v>61.402999999999999</v>
      </c>
      <c r="K20" s="38">
        <v>78.597999999999999</v>
      </c>
    </row>
    <row r="21" spans="2:11" ht="18">
      <c r="B21" s="8" t="s">
        <v>13</v>
      </c>
      <c r="C21" s="38"/>
      <c r="D21" s="38">
        <v>11.823</v>
      </c>
      <c r="E21" s="38">
        <v>11.823</v>
      </c>
      <c r="F21" s="38">
        <v>11.823</v>
      </c>
      <c r="G21" s="38">
        <v>1850.28</v>
      </c>
      <c r="I21" s="38">
        <v>11.823</v>
      </c>
      <c r="K21" s="38">
        <v>11.823</v>
      </c>
    </row>
    <row r="22" spans="2:11" ht="18">
      <c r="B22" s="8" t="s">
        <v>14</v>
      </c>
      <c r="C22" s="38">
        <v>47.997</v>
      </c>
      <c r="D22" s="38">
        <v>52.905000000000001</v>
      </c>
      <c r="E22" s="38">
        <v>132.03800000000001</v>
      </c>
      <c r="F22" s="38">
        <v>97.311000000000007</v>
      </c>
      <c r="G22" s="38">
        <v>527.57000000000005</v>
      </c>
      <c r="I22" s="38">
        <v>115.187</v>
      </c>
      <c r="K22" s="38">
        <v>375.8</v>
      </c>
    </row>
    <row r="23" spans="2:11" ht="18">
      <c r="B23" s="8" t="s">
        <v>15</v>
      </c>
      <c r="C23" s="38">
        <v>13.476000000000001</v>
      </c>
      <c r="D23" s="38">
        <v>10.657999999999999</v>
      </c>
      <c r="E23" s="38">
        <v>13.411</v>
      </c>
      <c r="F23" s="38">
        <v>110.48399999999999</v>
      </c>
      <c r="G23" s="38">
        <v>130.798</v>
      </c>
      <c r="I23" s="38">
        <v>17.928000000000001</v>
      </c>
      <c r="K23" s="38">
        <v>222.32400000000001</v>
      </c>
    </row>
    <row r="24" spans="2:11" ht="18">
      <c r="B24" s="8" t="s">
        <v>186</v>
      </c>
      <c r="C24" s="38"/>
      <c r="D24" s="38">
        <v>0</v>
      </c>
      <c r="E24" s="38">
        <v>0</v>
      </c>
      <c r="F24" s="38">
        <v>0</v>
      </c>
      <c r="G24" s="38">
        <v>65.632000000000005</v>
      </c>
      <c r="I24" s="38"/>
      <c r="K24" s="38"/>
    </row>
    <row r="25" spans="2:11" ht="18">
      <c r="B25" s="8" t="s">
        <v>16</v>
      </c>
      <c r="C25" s="38">
        <v>0.14099999999999999</v>
      </c>
      <c r="D25" s="38">
        <v>3.992</v>
      </c>
      <c r="E25" s="38">
        <v>0.61499999999999999</v>
      </c>
      <c r="F25" s="38">
        <v>0.14000000000000001</v>
      </c>
      <c r="G25" s="38">
        <v>2.9140000000000001</v>
      </c>
      <c r="I25" s="38">
        <f>59/1000</f>
        <v>5.8999999999999997E-2</v>
      </c>
      <c r="K25" s="38">
        <v>0.52</v>
      </c>
    </row>
    <row r="26" spans="2:11" ht="18">
      <c r="B26" s="46" t="s">
        <v>17</v>
      </c>
      <c r="C26" s="47">
        <v>208.345</v>
      </c>
      <c r="D26" s="47">
        <v>279.95400000000001</v>
      </c>
      <c r="E26" s="47">
        <v>327.07600000000002</v>
      </c>
      <c r="F26" s="47">
        <f>SUM(F17:F25)</f>
        <v>522.70400000000006</v>
      </c>
      <c r="G26" s="47">
        <f>SUM(G17:G25)</f>
        <v>2803.4160000000002</v>
      </c>
      <c r="I26" s="47">
        <v>586.28099999999995</v>
      </c>
      <c r="K26" s="47">
        <f>SUM(K17:K25)</f>
        <v>1044.2660000000001</v>
      </c>
    </row>
    <row r="27" spans="2:11" ht="18">
      <c r="B27" s="11" t="s">
        <v>18</v>
      </c>
      <c r="C27" s="38">
        <v>0</v>
      </c>
      <c r="D27" s="38">
        <v>0</v>
      </c>
      <c r="E27" s="38">
        <v>61.095999999999997</v>
      </c>
      <c r="F27" s="38">
        <v>0</v>
      </c>
      <c r="G27" s="38">
        <v>0</v>
      </c>
      <c r="I27" s="38">
        <v>0</v>
      </c>
      <c r="K27" s="38"/>
    </row>
    <row r="28" spans="2:11" ht="18">
      <c r="B28" s="12" t="s">
        <v>19</v>
      </c>
      <c r="C28" s="39"/>
      <c r="D28" s="39"/>
      <c r="E28" s="39"/>
      <c r="F28" s="39"/>
      <c r="G28" s="39"/>
      <c r="I28" s="39"/>
      <c r="K28" s="39"/>
    </row>
    <row r="29" spans="2:11" ht="18.75" thickBot="1">
      <c r="B29" s="13" t="s">
        <v>124</v>
      </c>
      <c r="C29" s="40">
        <v>2044.6779999999999</v>
      </c>
      <c r="D29" s="40">
        <v>3016.7340000000004</v>
      </c>
      <c r="E29" s="40">
        <v>3356.172</v>
      </c>
      <c r="F29" s="40">
        <v>4433.4210000000003</v>
      </c>
      <c r="G29" s="40">
        <f>G26+G15</f>
        <v>8960.0800000000017</v>
      </c>
      <c r="I29" s="40">
        <v>2615.654</v>
      </c>
      <c r="K29" s="40">
        <f>K26+K15</f>
        <v>2859.2759999999998</v>
      </c>
    </row>
    <row r="30" spans="2:11" ht="18.75" thickTop="1">
      <c r="B30" s="11"/>
      <c r="C30" s="38"/>
      <c r="D30" s="38"/>
      <c r="E30" s="38"/>
      <c r="F30" s="38"/>
      <c r="G30" s="38"/>
      <c r="I30" s="38"/>
      <c r="K30" s="38"/>
    </row>
    <row r="31" spans="2:11" ht="18">
      <c r="B31" s="16" t="s">
        <v>118</v>
      </c>
      <c r="C31" s="38"/>
      <c r="D31" s="38"/>
      <c r="E31" s="38"/>
      <c r="F31" s="38"/>
      <c r="G31" s="38"/>
      <c r="I31" s="38"/>
      <c r="K31" s="38"/>
    </row>
    <row r="32" spans="2:11" ht="18">
      <c r="B32" s="16" t="s">
        <v>129</v>
      </c>
      <c r="C32" s="38"/>
      <c r="D32" s="38"/>
      <c r="E32" s="38"/>
      <c r="F32" s="38"/>
      <c r="G32" s="38"/>
      <c r="I32" s="38"/>
      <c r="K32" s="38"/>
    </row>
    <row r="33" spans="2:11" ht="18">
      <c r="B33" s="11" t="s">
        <v>120</v>
      </c>
      <c r="C33" s="38">
        <v>0</v>
      </c>
      <c r="D33" s="38">
        <v>0</v>
      </c>
      <c r="E33" s="38">
        <v>0</v>
      </c>
      <c r="F33" s="38">
        <v>10</v>
      </c>
      <c r="G33" s="38">
        <v>11.628</v>
      </c>
      <c r="I33" s="38">
        <v>10</v>
      </c>
      <c r="K33" s="38">
        <v>11.628</v>
      </c>
    </row>
    <row r="34" spans="2:11" ht="18">
      <c r="B34" s="11" t="s">
        <v>34</v>
      </c>
      <c r="C34" s="38">
        <v>0</v>
      </c>
      <c r="D34" s="38">
        <v>0</v>
      </c>
      <c r="E34" s="38">
        <v>0</v>
      </c>
      <c r="F34" s="38">
        <v>306.82100000000003</v>
      </c>
      <c r="G34" s="38">
        <v>306.82100000000003</v>
      </c>
      <c r="I34" s="38">
        <v>234.821</v>
      </c>
      <c r="K34" s="38">
        <v>306.82100000000003</v>
      </c>
    </row>
    <row r="35" spans="2:11" ht="18">
      <c r="B35" s="11" t="s">
        <v>147</v>
      </c>
      <c r="C35" s="38">
        <v>0</v>
      </c>
      <c r="D35" s="38">
        <v>0</v>
      </c>
      <c r="E35" s="38">
        <v>0</v>
      </c>
      <c r="F35" s="38">
        <v>0</v>
      </c>
      <c r="G35" s="38">
        <v>-0.70499999999999996</v>
      </c>
      <c r="I35" s="38">
        <v>0</v>
      </c>
      <c r="K35" s="38">
        <v>-1.17</v>
      </c>
    </row>
    <row r="36" spans="2:11" ht="18">
      <c r="B36" s="11" t="s">
        <v>187</v>
      </c>
      <c r="C36" s="38"/>
      <c r="D36" s="38">
        <v>0</v>
      </c>
      <c r="E36" s="38">
        <v>0</v>
      </c>
      <c r="F36" s="38">
        <v>0</v>
      </c>
      <c r="G36" s="38">
        <v>991.07</v>
      </c>
      <c r="I36" s="38"/>
      <c r="K36" s="38"/>
    </row>
    <row r="37" spans="2:11" ht="18">
      <c r="B37" s="11" t="s">
        <v>36</v>
      </c>
      <c r="C37" s="38">
        <v>0</v>
      </c>
      <c r="D37" s="38">
        <v>0</v>
      </c>
      <c r="E37" s="38">
        <v>0</v>
      </c>
      <c r="F37" s="38">
        <v>2075.6280000000002</v>
      </c>
      <c r="G37" s="38">
        <v>4096.2529999999997</v>
      </c>
      <c r="I37" s="38">
        <v>729.18299999999999</v>
      </c>
      <c r="K37" s="38">
        <v>546.02200000000005</v>
      </c>
    </row>
    <row r="38" spans="2:11" ht="18">
      <c r="B38" s="16" t="s">
        <v>130</v>
      </c>
      <c r="C38" s="38">
        <v>0</v>
      </c>
      <c r="D38" s="38">
        <v>0</v>
      </c>
      <c r="E38" s="38">
        <v>0</v>
      </c>
      <c r="F38" s="49">
        <v>2392.4490000000001</v>
      </c>
      <c r="G38" s="49">
        <f>SUM(G33:G37)</f>
        <v>5405.067</v>
      </c>
      <c r="I38" s="49">
        <v>974.00400000000002</v>
      </c>
      <c r="K38" s="49">
        <f>SUM(K33:K37)</f>
        <v>863.30100000000004</v>
      </c>
    </row>
    <row r="39" spans="2:11" ht="18">
      <c r="B39" s="11" t="s">
        <v>117</v>
      </c>
      <c r="C39" s="38">
        <v>0</v>
      </c>
      <c r="D39" s="38">
        <v>-57.353000000000002</v>
      </c>
      <c r="E39" s="38">
        <v>-2.0649999999999999</v>
      </c>
      <c r="F39" s="38">
        <v>-8.0120000000000005</v>
      </c>
      <c r="G39" s="38">
        <v>283.48399999999998</v>
      </c>
      <c r="I39" s="38">
        <v>-14.167999999999999</v>
      </c>
      <c r="K39" s="38">
        <v>-76.006</v>
      </c>
    </row>
    <row r="40" spans="2:11" ht="18">
      <c r="B40" s="11" t="s">
        <v>35</v>
      </c>
      <c r="C40" s="38">
        <v>0</v>
      </c>
      <c r="D40" s="38">
        <v>-57.353000000000002</v>
      </c>
      <c r="E40" s="38">
        <v>-2.0649999999999999</v>
      </c>
      <c r="F40" s="38">
        <v>0</v>
      </c>
      <c r="G40" s="38">
        <v>0</v>
      </c>
      <c r="I40" s="38">
        <v>0</v>
      </c>
      <c r="K40" s="38">
        <v>0</v>
      </c>
    </row>
    <row r="41" spans="2:11" ht="18">
      <c r="B41" s="20" t="s">
        <v>116</v>
      </c>
      <c r="C41" s="47">
        <v>0</v>
      </c>
      <c r="D41" s="47">
        <v>-57.353000000000002</v>
      </c>
      <c r="E41" s="47">
        <v>-2.0649999999999999</v>
      </c>
      <c r="F41" s="47">
        <v>2384.4369999999999</v>
      </c>
      <c r="G41" s="47">
        <f>SUM(G38:G40)</f>
        <v>5688.5510000000004</v>
      </c>
      <c r="I41" s="47">
        <v>959.83600000000001</v>
      </c>
      <c r="K41" s="47">
        <f>SUM(K38:K39)</f>
        <v>787.29500000000007</v>
      </c>
    </row>
    <row r="42" spans="2:11">
      <c r="I42" s="1"/>
    </row>
    <row r="43" spans="2:11" ht="18">
      <c r="B43" s="11"/>
      <c r="C43" s="38"/>
      <c r="D43" s="38"/>
      <c r="E43" s="38"/>
      <c r="F43" s="38"/>
      <c r="G43" s="38"/>
      <c r="I43" s="38"/>
      <c r="K43" s="38"/>
    </row>
    <row r="44" spans="2:11" ht="18">
      <c r="B44" s="11" t="s">
        <v>20</v>
      </c>
      <c r="C44" s="38">
        <v>1.97</v>
      </c>
      <c r="D44" s="38">
        <v>11</v>
      </c>
      <c r="E44" s="38">
        <v>1.75</v>
      </c>
      <c r="F44" s="38">
        <v>0</v>
      </c>
      <c r="G44" s="38">
        <v>0</v>
      </c>
      <c r="I44" s="38">
        <v>1.19</v>
      </c>
      <c r="K44" s="38">
        <v>0</v>
      </c>
    </row>
    <row r="45" spans="2:11" ht="18">
      <c r="B45" s="11" t="s">
        <v>174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I45" s="38">
        <v>101.46299999999999</v>
      </c>
      <c r="K45" s="38">
        <v>0</v>
      </c>
    </row>
    <row r="46" spans="2:11" ht="18">
      <c r="B46" s="11" t="s">
        <v>148</v>
      </c>
      <c r="C46" s="38">
        <v>5.3390000000000004</v>
      </c>
      <c r="D46" s="38">
        <v>12.871</v>
      </c>
      <c r="E46" s="38">
        <v>14.837999999999999</v>
      </c>
      <c r="F46" s="38">
        <v>14.237</v>
      </c>
      <c r="G46" s="38">
        <v>28.956</v>
      </c>
      <c r="I46" s="38">
        <v>16.774000000000001</v>
      </c>
      <c r="K46" s="38">
        <v>13.595000000000001</v>
      </c>
    </row>
    <row r="47" spans="2:11" ht="18">
      <c r="B47" s="11" t="s">
        <v>21</v>
      </c>
      <c r="C47" s="38">
        <v>24.143999999999998</v>
      </c>
      <c r="D47" s="38">
        <v>146.673</v>
      </c>
      <c r="E47" s="38">
        <v>214.15700000000001</v>
      </c>
      <c r="F47" s="38">
        <v>375.81599999999997</v>
      </c>
      <c r="G47" s="38">
        <v>535.98500000000001</v>
      </c>
      <c r="I47" s="38">
        <v>247.15</v>
      </c>
      <c r="K47" s="38">
        <v>371.76900000000001</v>
      </c>
    </row>
    <row r="48" spans="2:11" ht="18">
      <c r="B48" s="11" t="s">
        <v>175</v>
      </c>
      <c r="C48" s="38">
        <v>0</v>
      </c>
      <c r="D48" s="38">
        <v>0</v>
      </c>
      <c r="E48" s="38">
        <v>0</v>
      </c>
      <c r="F48" s="38">
        <v>0</v>
      </c>
      <c r="G48" s="38">
        <v>53.95</v>
      </c>
      <c r="I48" s="38">
        <v>0.312</v>
      </c>
      <c r="K48" s="38">
        <v>0</v>
      </c>
    </row>
    <row r="49" spans="2:11" ht="18">
      <c r="B49" s="11" t="s">
        <v>22</v>
      </c>
      <c r="C49" s="38">
        <v>4.133</v>
      </c>
      <c r="D49" s="38">
        <v>0</v>
      </c>
      <c r="E49" s="38">
        <v>3.7679999999999998</v>
      </c>
      <c r="F49" s="38">
        <v>1.929</v>
      </c>
      <c r="G49" s="38">
        <v>138.80199999999999</v>
      </c>
      <c r="I49" s="38">
        <v>2.92</v>
      </c>
      <c r="K49" s="38">
        <v>1.198</v>
      </c>
    </row>
    <row r="50" spans="2:11" ht="18">
      <c r="B50" s="11" t="s">
        <v>23</v>
      </c>
      <c r="C50" s="38">
        <v>174.488</v>
      </c>
      <c r="D50" s="38">
        <v>354.17200000000003</v>
      </c>
      <c r="E50" s="38">
        <v>477.47300000000001</v>
      </c>
      <c r="F50" s="38">
        <v>786.625</v>
      </c>
      <c r="G50" s="38">
        <v>1004.715</v>
      </c>
      <c r="I50" s="38">
        <v>572.35799999999995</v>
      </c>
      <c r="K50" s="38">
        <v>908.34</v>
      </c>
    </row>
    <row r="51" spans="2:11" ht="18">
      <c r="B51" s="11" t="s">
        <v>24</v>
      </c>
      <c r="C51" s="38">
        <v>29.853999999999999</v>
      </c>
      <c r="D51" s="38">
        <v>88.278000000000006</v>
      </c>
      <c r="E51" s="38">
        <v>101.745</v>
      </c>
      <c r="F51" s="38">
        <v>173.39500000000001</v>
      </c>
      <c r="G51" s="38">
        <v>276.62200000000001</v>
      </c>
      <c r="I51" s="38">
        <v>99.025999999999996</v>
      </c>
      <c r="K51" s="38">
        <v>119.024</v>
      </c>
    </row>
    <row r="52" spans="2:11" ht="18">
      <c r="B52" s="11" t="s">
        <v>25</v>
      </c>
      <c r="C52" s="38">
        <v>7.34</v>
      </c>
      <c r="D52" s="38">
        <v>24.084</v>
      </c>
      <c r="E52" s="38">
        <v>38.387999999999998</v>
      </c>
      <c r="F52" s="38">
        <v>7.5</v>
      </c>
      <c r="G52" s="38">
        <v>247.01400000000001</v>
      </c>
      <c r="I52" s="38">
        <v>22.556000000000001</v>
      </c>
      <c r="K52" s="38">
        <f>250/1000</f>
        <v>0.25</v>
      </c>
    </row>
    <row r="53" spans="2:11" ht="18">
      <c r="B53" s="11" t="s">
        <v>26</v>
      </c>
      <c r="C53" s="38">
        <v>8.6240000000000006</v>
      </c>
      <c r="D53" s="38">
        <v>9.2590000000000003</v>
      </c>
      <c r="E53" s="38">
        <v>87.337999999999994</v>
      </c>
      <c r="F53" s="38">
        <v>50.368000000000002</v>
      </c>
      <c r="G53" s="38">
        <v>476.08199999999999</v>
      </c>
      <c r="I53" s="38">
        <v>66.591999999999999</v>
      </c>
      <c r="K53" s="38">
        <v>224.005</v>
      </c>
    </row>
    <row r="54" spans="2:11" ht="18">
      <c r="B54" s="11" t="s">
        <v>27</v>
      </c>
      <c r="C54" s="38">
        <v>55.134</v>
      </c>
      <c r="D54" s="38">
        <v>116.407</v>
      </c>
      <c r="E54" s="38">
        <v>147.768</v>
      </c>
      <c r="F54" s="38">
        <v>100.477</v>
      </c>
      <c r="G54" s="38">
        <v>0</v>
      </c>
      <c r="I54" s="38">
        <v>53.436999999999998</v>
      </c>
      <c r="K54" s="38">
        <v>16.047000000000001</v>
      </c>
    </row>
    <row r="55" spans="2:11" ht="16.5">
      <c r="B55" s="81" t="s">
        <v>198</v>
      </c>
      <c r="C55" s="48">
        <v>311.02600000000001</v>
      </c>
      <c r="D55" s="48">
        <v>762.74400000000003</v>
      </c>
      <c r="E55" s="48">
        <v>1087.2249999999999</v>
      </c>
      <c r="F55" s="48">
        <v>1510.347</v>
      </c>
      <c r="G55" s="48">
        <f>SUM(G44:G54)</f>
        <v>2762.1260000000002</v>
      </c>
      <c r="I55" s="48">
        <v>1183.778</v>
      </c>
      <c r="K55" s="48">
        <f>SUM(K44:K54)</f>
        <v>1654.2280000000001</v>
      </c>
    </row>
    <row r="56" spans="2:11" ht="18">
      <c r="B56" s="11"/>
      <c r="C56" s="38"/>
      <c r="D56" s="38"/>
      <c r="E56" s="38"/>
      <c r="F56" s="38"/>
      <c r="G56" s="38"/>
      <c r="I56" s="38"/>
      <c r="K56" s="38"/>
    </row>
    <row r="57" spans="2:11" ht="18">
      <c r="B57" s="11" t="s">
        <v>28</v>
      </c>
      <c r="C57" s="38">
        <v>121.465</v>
      </c>
      <c r="D57" s="38">
        <v>178.56800000000001</v>
      </c>
      <c r="E57" s="38">
        <v>271.79000000000002</v>
      </c>
      <c r="F57" s="38">
        <v>337.97399999999999</v>
      </c>
      <c r="G57" s="38">
        <v>258.48099999999999</v>
      </c>
      <c r="I57" s="38">
        <v>274.339</v>
      </c>
      <c r="K57" s="38">
        <v>232.58099999999999</v>
      </c>
    </row>
    <row r="58" spans="2:11" ht="18">
      <c r="B58" s="11" t="s">
        <v>29</v>
      </c>
      <c r="C58" s="38">
        <v>0</v>
      </c>
      <c r="D58" s="38">
        <v>74.867000000000004</v>
      </c>
      <c r="E58" s="38">
        <v>68.5</v>
      </c>
      <c r="F58" s="38">
        <v>74.572000000000003</v>
      </c>
      <c r="G58" s="38">
        <v>72.5</v>
      </c>
      <c r="I58" s="38">
        <v>68.5</v>
      </c>
      <c r="K58" s="38">
        <v>72.5</v>
      </c>
    </row>
    <row r="59" spans="2:11" ht="18">
      <c r="B59" s="11" t="s">
        <v>30</v>
      </c>
      <c r="C59" s="38">
        <v>2.262</v>
      </c>
      <c r="D59" s="38">
        <v>0</v>
      </c>
      <c r="E59" s="38">
        <v>0</v>
      </c>
      <c r="F59" s="38">
        <v>0</v>
      </c>
      <c r="G59" s="38">
        <v>49.668999999999997</v>
      </c>
      <c r="I59" s="38">
        <v>0</v>
      </c>
      <c r="K59" s="38">
        <v>0</v>
      </c>
    </row>
    <row r="60" spans="2:11" ht="18">
      <c r="B60" s="11" t="s">
        <v>31</v>
      </c>
      <c r="C60" s="38">
        <v>67.587999999999994</v>
      </c>
      <c r="D60" s="38">
        <v>91.399000000000001</v>
      </c>
      <c r="E60" s="38">
        <v>0</v>
      </c>
      <c r="F60" s="38">
        <v>0</v>
      </c>
      <c r="G60" s="38">
        <v>0</v>
      </c>
      <c r="I60" s="38">
        <v>0</v>
      </c>
      <c r="K60" s="38">
        <v>0</v>
      </c>
    </row>
    <row r="61" spans="2:11" ht="18">
      <c r="B61" s="11" t="s">
        <v>32</v>
      </c>
      <c r="C61" s="38">
        <v>8</v>
      </c>
      <c r="D61" s="38">
        <v>8</v>
      </c>
      <c r="E61" s="38">
        <v>0</v>
      </c>
      <c r="F61" s="38">
        <v>2.66</v>
      </c>
      <c r="G61" s="38">
        <v>0</v>
      </c>
      <c r="I61" s="38">
        <v>0</v>
      </c>
      <c r="K61" s="38">
        <v>0</v>
      </c>
    </row>
    <row r="62" spans="2:11" ht="18">
      <c r="B62" s="11" t="s">
        <v>176</v>
      </c>
      <c r="C62" s="38">
        <v>132.68299999999999</v>
      </c>
      <c r="D62" s="38">
        <v>131.923</v>
      </c>
      <c r="E62" s="38">
        <v>119.776</v>
      </c>
      <c r="F62" s="38">
        <v>123.431</v>
      </c>
      <c r="G62" s="38">
        <v>128.75299999999999</v>
      </c>
      <c r="I62" s="38">
        <v>129.20099999999999</v>
      </c>
      <c r="K62" s="38">
        <v>112.672</v>
      </c>
    </row>
    <row r="63" spans="2:11" ht="18">
      <c r="B63" s="46" t="s">
        <v>33</v>
      </c>
      <c r="C63" s="47">
        <v>331.99799999999999</v>
      </c>
      <c r="D63" s="47">
        <v>484.75700000000001</v>
      </c>
      <c r="E63" s="47">
        <v>460.06599999999997</v>
      </c>
      <c r="F63" s="47">
        <f>SUM(F57:F62)</f>
        <v>538.63700000000006</v>
      </c>
      <c r="G63" s="47">
        <f>SUM(G57:G62)</f>
        <v>509.40299999999996</v>
      </c>
      <c r="I63" s="47">
        <v>472.04</v>
      </c>
      <c r="K63" s="47">
        <f>SUM(K57:K62)</f>
        <v>417.75300000000004</v>
      </c>
    </row>
    <row r="64" spans="2:11" ht="18">
      <c r="B64" s="11"/>
      <c r="C64" s="38"/>
      <c r="D64" s="38"/>
      <c r="E64" s="38"/>
      <c r="F64" s="38"/>
      <c r="G64" s="38"/>
      <c r="I64" s="38"/>
      <c r="K64" s="38"/>
    </row>
    <row r="65" spans="2:11" ht="18">
      <c r="B65" s="82" t="s">
        <v>119</v>
      </c>
      <c r="C65" s="83"/>
      <c r="D65" s="83"/>
      <c r="E65" s="83"/>
      <c r="F65" s="83"/>
      <c r="G65" s="83"/>
      <c r="I65" s="1"/>
    </row>
    <row r="66" spans="2:11" ht="18">
      <c r="B66" s="84" t="s">
        <v>120</v>
      </c>
      <c r="C66" s="77">
        <v>14</v>
      </c>
      <c r="D66" s="77">
        <v>14</v>
      </c>
      <c r="E66" s="77">
        <v>14</v>
      </c>
      <c r="F66" s="77">
        <v>0</v>
      </c>
      <c r="G66" s="77">
        <v>0</v>
      </c>
      <c r="I66" s="38">
        <v>0</v>
      </c>
      <c r="K66" s="38">
        <v>0</v>
      </c>
    </row>
    <row r="67" spans="2:11" ht="18">
      <c r="B67" s="84" t="s">
        <v>34</v>
      </c>
      <c r="C67" s="77">
        <v>760.7</v>
      </c>
      <c r="D67" s="77">
        <v>760.7</v>
      </c>
      <c r="E67" s="77">
        <v>234.821</v>
      </c>
      <c r="F67" s="77">
        <v>0</v>
      </c>
      <c r="G67" s="77">
        <v>0</v>
      </c>
      <c r="I67" s="38">
        <v>0</v>
      </c>
      <c r="K67" s="38">
        <v>0</v>
      </c>
    </row>
    <row r="68" spans="2:11" ht="18">
      <c r="B68" s="84" t="s">
        <v>36</v>
      </c>
      <c r="C68" s="77">
        <v>640.94000000000005</v>
      </c>
      <c r="D68" s="77">
        <v>1065.8720000000001</v>
      </c>
      <c r="E68" s="77">
        <v>1576.1110000000001</v>
      </c>
      <c r="F68" s="77">
        <v>0</v>
      </c>
      <c r="G68" s="77">
        <v>0</v>
      </c>
      <c r="I68" s="38">
        <v>0</v>
      </c>
      <c r="K68" s="38">
        <v>0</v>
      </c>
    </row>
    <row r="69" spans="2:11" ht="18">
      <c r="B69" s="85" t="s">
        <v>121</v>
      </c>
      <c r="C69" s="86">
        <v>1401.64</v>
      </c>
      <c r="D69" s="86">
        <v>1826.5720000000001</v>
      </c>
      <c r="E69" s="86">
        <v>1810.932</v>
      </c>
      <c r="F69" s="86">
        <v>0</v>
      </c>
      <c r="G69" s="86">
        <v>0</v>
      </c>
      <c r="I69" s="47">
        <v>0</v>
      </c>
      <c r="K69" s="47">
        <v>0</v>
      </c>
    </row>
    <row r="70" spans="2:11" ht="18">
      <c r="B70" s="10"/>
      <c r="C70" s="38"/>
      <c r="D70" s="38"/>
      <c r="E70" s="38"/>
      <c r="F70" s="38"/>
      <c r="G70" s="38"/>
      <c r="I70" s="38"/>
      <c r="K70" s="38"/>
    </row>
    <row r="71" spans="2:11" ht="18">
      <c r="B71" s="46" t="s">
        <v>122</v>
      </c>
      <c r="C71" s="47">
        <v>2044.6640000000002</v>
      </c>
      <c r="D71" s="47">
        <v>3074.0730000000003</v>
      </c>
      <c r="E71" s="47">
        <v>3358.223</v>
      </c>
      <c r="F71" s="47">
        <v>2048.9839999999999</v>
      </c>
      <c r="G71" s="47">
        <f>G55+G63</f>
        <v>3271.529</v>
      </c>
      <c r="I71" s="47">
        <v>1655.818</v>
      </c>
      <c r="K71" s="47">
        <v>2071.9810000000002</v>
      </c>
    </row>
    <row r="72" spans="2:11" ht="18.75" thickBot="1">
      <c r="B72" s="13" t="s">
        <v>123</v>
      </c>
      <c r="C72" s="40">
        <v>2044.6640000000002</v>
      </c>
      <c r="D72" s="40">
        <v>3016.7200000000003</v>
      </c>
      <c r="E72" s="40">
        <v>3356.1579999999999</v>
      </c>
      <c r="F72" s="40">
        <v>4433.4210000000003</v>
      </c>
      <c r="G72" s="40">
        <f>G71+G41</f>
        <v>8960.08</v>
      </c>
      <c r="I72" s="40">
        <v>2615.654</v>
      </c>
      <c r="K72" s="40">
        <v>2859.2759999999998</v>
      </c>
    </row>
    <row r="73" spans="2:11" ht="18.75" thickTop="1">
      <c r="B73" s="11"/>
      <c r="C73" s="38"/>
      <c r="D73" s="38"/>
      <c r="E73" s="38"/>
      <c r="F73" s="38"/>
      <c r="G73" s="38"/>
      <c r="K73" s="38"/>
    </row>
    <row r="74" spans="2:11">
      <c r="B74" s="14"/>
      <c r="C74" s="15"/>
      <c r="D74" s="15"/>
      <c r="E74" s="15"/>
      <c r="F74" s="15"/>
      <c r="G74" s="15"/>
      <c r="K74" s="15"/>
    </row>
    <row r="75" spans="2:11" ht="21">
      <c r="B75" s="66"/>
      <c r="C75" s="15"/>
      <c r="D75" s="15"/>
      <c r="E75" s="15"/>
      <c r="F75" s="15"/>
      <c r="G75" s="15"/>
      <c r="K75" s="15"/>
    </row>
    <row r="76" spans="2:11">
      <c r="D76" s="3"/>
      <c r="E76" s="3"/>
      <c r="F76" s="3"/>
      <c r="G76" s="3"/>
      <c r="K76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85F65-EB65-4146-9282-ECC79BC69BE9}">
  <dimension ref="B2:K69"/>
  <sheetViews>
    <sheetView showGridLines="0" workbookViewId="0">
      <pane xSplit="2" ySplit="5" topLeftCell="C45" activePane="bottomRight" state="frozen"/>
      <selection activeCell="A31" sqref="A31"/>
      <selection pane="topRight" activeCell="A31" sqref="A31"/>
      <selection pane="bottomLeft" activeCell="A31" sqref="A31"/>
      <selection pane="bottomRight" activeCell="F1" sqref="F1:G1048576"/>
    </sheetView>
  </sheetViews>
  <sheetFormatPr defaultColWidth="11.44140625" defaultRowHeight="18"/>
  <cols>
    <col min="2" max="2" width="104.88671875" style="11" bestFit="1" customWidth="1"/>
    <col min="3" max="7" width="9.33203125" style="11" customWidth="1"/>
    <col min="9" max="9" width="18" style="11" bestFit="1" customWidth="1"/>
    <col min="10" max="10" width="5.109375" customWidth="1"/>
    <col min="11" max="11" width="18" style="11" bestFit="1" customWidth="1"/>
  </cols>
  <sheetData>
    <row r="2" spans="2:11">
      <c r="C2" s="5"/>
      <c r="D2" s="5"/>
      <c r="E2" s="5"/>
      <c r="F2" s="5"/>
      <c r="G2" s="5"/>
      <c r="I2" s="5"/>
      <c r="K2" s="5"/>
    </row>
    <row r="3" spans="2:11" ht="51" customHeight="1">
      <c r="B3" s="6" t="s">
        <v>76</v>
      </c>
      <c r="C3" s="7">
        <v>2021</v>
      </c>
      <c r="D3" s="7">
        <v>2022</v>
      </c>
      <c r="E3" s="7">
        <v>2023</v>
      </c>
      <c r="F3" s="7">
        <v>2024</v>
      </c>
      <c r="G3" s="7">
        <v>2025</v>
      </c>
      <c r="I3" s="74" t="s">
        <v>160</v>
      </c>
      <c r="K3" s="74" t="s">
        <v>161</v>
      </c>
    </row>
    <row r="4" spans="2:11" ht="16.5">
      <c r="B4" s="23"/>
      <c r="C4" s="24"/>
      <c r="D4" s="24"/>
      <c r="E4" s="24"/>
      <c r="F4" s="24"/>
      <c r="G4" s="24"/>
      <c r="I4" s="24"/>
      <c r="K4" s="24"/>
    </row>
    <row r="5" spans="2:11">
      <c r="B5" s="16" t="s">
        <v>37</v>
      </c>
    </row>
    <row r="6" spans="2:11">
      <c r="B6" s="11" t="s">
        <v>172</v>
      </c>
      <c r="C6" s="36">
        <v>670.303</v>
      </c>
      <c r="D6" s="36">
        <v>981.10900000000004</v>
      </c>
      <c r="E6" s="36">
        <v>1466.126</v>
      </c>
      <c r="F6" s="36">
        <v>1850.047</v>
      </c>
      <c r="G6" s="36">
        <v>3107.5790000000002</v>
      </c>
      <c r="I6" s="36">
        <v>608.09100000000001</v>
      </c>
      <c r="K6" s="36">
        <v>-997.87900000000002</v>
      </c>
    </row>
    <row r="7" spans="2:11">
      <c r="B7" s="18" t="s">
        <v>38</v>
      </c>
      <c r="C7" s="36"/>
      <c r="D7" s="36"/>
      <c r="E7" s="36"/>
      <c r="F7" s="36"/>
      <c r="G7" s="36"/>
      <c r="I7" s="36"/>
      <c r="K7" s="36"/>
    </row>
    <row r="8" spans="2:11">
      <c r="B8" s="11" t="s">
        <v>39</v>
      </c>
      <c r="C8" s="36">
        <v>4.117</v>
      </c>
      <c r="D8" s="36">
        <v>7.4550000000000001</v>
      </c>
      <c r="E8" s="36">
        <v>11.792999999999999</v>
      </c>
      <c r="F8" s="36">
        <v>15.284000000000001</v>
      </c>
      <c r="G8" s="36">
        <v>22.981999999999999</v>
      </c>
      <c r="I8" s="36">
        <v>6.8550000000000004</v>
      </c>
      <c r="K8" s="36">
        <v>10.007</v>
      </c>
    </row>
    <row r="9" spans="2:11">
      <c r="B9" s="11" t="s">
        <v>40</v>
      </c>
      <c r="C9" s="36">
        <v>6.6289999999999996</v>
      </c>
      <c r="D9" s="36">
        <v>20.707000000000001</v>
      </c>
      <c r="E9" s="36">
        <v>35.259</v>
      </c>
      <c r="F9" s="36">
        <v>65.665999999999997</v>
      </c>
      <c r="G9" s="36">
        <v>114.255</v>
      </c>
      <c r="I9" s="36">
        <v>29.943000000000001</v>
      </c>
      <c r="K9" s="36">
        <v>42.918999999999997</v>
      </c>
    </row>
    <row r="10" spans="2:11">
      <c r="B10" s="11" t="s">
        <v>41</v>
      </c>
      <c r="C10" s="36">
        <v>18.626000000000001</v>
      </c>
      <c r="D10" s="36">
        <v>19.803999999999998</v>
      </c>
      <c r="E10" s="36">
        <v>19.978000000000002</v>
      </c>
      <c r="F10" s="36">
        <v>21.785</v>
      </c>
      <c r="G10" s="36">
        <v>22.526</v>
      </c>
      <c r="I10" s="36">
        <v>10.241</v>
      </c>
      <c r="K10" s="36">
        <v>10.827999999999999</v>
      </c>
    </row>
    <row r="11" spans="2:11">
      <c r="B11" s="11" t="s">
        <v>42</v>
      </c>
      <c r="C11" s="36">
        <v>-3.1819999999999999</v>
      </c>
      <c r="D11" s="36">
        <v>-3.4660000000000002</v>
      </c>
      <c r="E11" s="36">
        <v>0.55200000000000005</v>
      </c>
      <c r="F11" s="36">
        <v>-0.19</v>
      </c>
      <c r="G11" s="36">
        <v>0.35299999999999998</v>
      </c>
      <c r="I11" s="36">
        <f>-202/1000</f>
        <v>-0.20200000000000001</v>
      </c>
      <c r="K11" s="36">
        <f>-18/1000</f>
        <v>-1.7999999999999999E-2</v>
      </c>
    </row>
    <row r="12" spans="2:11">
      <c r="B12" s="11" t="s">
        <v>43</v>
      </c>
      <c r="C12" s="36">
        <v>-49.036000000000001</v>
      </c>
      <c r="D12" s="36">
        <v>-106.996</v>
      </c>
      <c r="E12" s="36">
        <v>-88.963999999999999</v>
      </c>
      <c r="F12" s="36">
        <v>-185.31</v>
      </c>
      <c r="G12" s="36">
        <v>-381.17200000000003</v>
      </c>
      <c r="I12" s="36">
        <v>-91.762</v>
      </c>
      <c r="K12" s="36">
        <v>-315.49299999999999</v>
      </c>
    </row>
    <row r="13" spans="2:11">
      <c r="B13" s="11" t="s">
        <v>44</v>
      </c>
      <c r="C13" s="36">
        <v>46.548999999999999</v>
      </c>
      <c r="D13" s="36">
        <v>80.162000000000006</v>
      </c>
      <c r="E13" s="36">
        <v>248.10400000000001</v>
      </c>
      <c r="F13" s="36">
        <v>222.19800000000001</v>
      </c>
      <c r="G13" s="36">
        <v>72.236999999999995</v>
      </c>
      <c r="I13" s="36">
        <v>47.186</v>
      </c>
      <c r="K13" s="36">
        <v>49.62</v>
      </c>
    </row>
    <row r="14" spans="2:11">
      <c r="B14" s="11" t="s">
        <v>179</v>
      </c>
      <c r="C14" s="36">
        <v>0</v>
      </c>
      <c r="D14" s="36">
        <v>-58.488999999999997</v>
      </c>
      <c r="E14" s="36">
        <v>0</v>
      </c>
      <c r="F14" s="36">
        <v>0</v>
      </c>
      <c r="G14" s="36">
        <v>0</v>
      </c>
      <c r="I14" s="36">
        <v>0</v>
      </c>
      <c r="K14" s="36">
        <v>0</v>
      </c>
    </row>
    <row r="15" spans="2:11">
      <c r="B15" s="11" t="s">
        <v>188</v>
      </c>
      <c r="C15" s="36">
        <v>0</v>
      </c>
      <c r="D15" s="36">
        <v>-45.018000000000001</v>
      </c>
      <c r="E15" s="36">
        <v>0.22500000000000001</v>
      </c>
      <c r="F15" s="36">
        <v>0</v>
      </c>
      <c r="G15" s="36">
        <v>1.8260000000000001</v>
      </c>
      <c r="I15" s="36">
        <v>0</v>
      </c>
      <c r="K15" s="36">
        <v>0</v>
      </c>
    </row>
    <row r="16" spans="2:11">
      <c r="B16" s="11" t="s">
        <v>180</v>
      </c>
      <c r="C16" s="36">
        <v>0</v>
      </c>
      <c r="D16" s="36">
        <v>4.0199999999999996</v>
      </c>
      <c r="E16" s="36">
        <v>-16.727</v>
      </c>
      <c r="F16" s="36">
        <v>0</v>
      </c>
      <c r="G16" s="36">
        <v>100</v>
      </c>
      <c r="I16" s="36">
        <v>0</v>
      </c>
      <c r="K16" s="36">
        <v>7.5949999999999998</v>
      </c>
    </row>
    <row r="17" spans="2:11">
      <c r="B17" s="11" t="s">
        <v>177</v>
      </c>
      <c r="C17" s="36">
        <v>0</v>
      </c>
      <c r="D17" s="36">
        <v>0</v>
      </c>
      <c r="E17" s="36">
        <v>-19.457999999999998</v>
      </c>
      <c r="F17" s="36">
        <v>-43.762999999999998</v>
      </c>
      <c r="G17" s="36">
        <v>0</v>
      </c>
      <c r="I17" s="36">
        <v>6.8869999999999996</v>
      </c>
      <c r="K17" s="36">
        <v>0</v>
      </c>
    </row>
    <row r="18" spans="2:11">
      <c r="B18" s="11" t="s">
        <v>150</v>
      </c>
      <c r="C18" s="36"/>
      <c r="D18" s="36"/>
      <c r="E18" s="36"/>
      <c r="F18" s="36">
        <v>0</v>
      </c>
      <c r="G18" s="36">
        <v>0</v>
      </c>
      <c r="I18" s="36">
        <v>0.79200000000000004</v>
      </c>
      <c r="K18" s="36">
        <v>0</v>
      </c>
    </row>
    <row r="19" spans="2:11">
      <c r="B19" s="11" t="s">
        <v>151</v>
      </c>
      <c r="C19" s="36"/>
      <c r="D19" s="36"/>
      <c r="E19" s="36"/>
      <c r="F19" s="36">
        <v>0</v>
      </c>
      <c r="G19" s="36">
        <v>0</v>
      </c>
      <c r="I19" s="36">
        <v>0.10100000000000001</v>
      </c>
      <c r="K19" s="36">
        <v>0.23200000000000001</v>
      </c>
    </row>
    <row r="20" spans="2:11">
      <c r="B20" s="11" t="s">
        <v>149</v>
      </c>
      <c r="C20" s="36">
        <v>0</v>
      </c>
      <c r="D20" s="36">
        <v>0</v>
      </c>
      <c r="E20" s="36">
        <v>0</v>
      </c>
      <c r="F20" s="36">
        <v>-18.704000000000001</v>
      </c>
      <c r="G20" s="36">
        <v>0</v>
      </c>
      <c r="I20" s="36">
        <v>-18.704000000000001</v>
      </c>
      <c r="K20" s="36">
        <v>0</v>
      </c>
    </row>
    <row r="21" spans="2:11">
      <c r="B21" s="11" t="s">
        <v>127</v>
      </c>
      <c r="C21" s="36">
        <v>0</v>
      </c>
      <c r="D21" s="36">
        <v>0</v>
      </c>
      <c r="E21" s="36">
        <v>0</v>
      </c>
      <c r="F21" s="36">
        <v>258.34899999999999</v>
      </c>
      <c r="G21" s="36">
        <v>79.724999999999994</v>
      </c>
      <c r="I21" s="36">
        <v>0</v>
      </c>
      <c r="K21" s="36">
        <v>55.472000000000001</v>
      </c>
    </row>
    <row r="22" spans="2:11">
      <c r="B22" s="11" t="s">
        <v>152</v>
      </c>
      <c r="C22" s="36"/>
      <c r="D22" s="36"/>
      <c r="E22" s="36"/>
      <c r="F22" s="36">
        <v>0</v>
      </c>
      <c r="G22" s="36">
        <v>0.86799999999999999</v>
      </c>
      <c r="I22" s="36">
        <v>0</v>
      </c>
      <c r="K22" s="36">
        <v>0.83899999999999997</v>
      </c>
    </row>
    <row r="23" spans="2:11">
      <c r="B23" s="33" t="s">
        <v>45</v>
      </c>
      <c r="C23" s="41">
        <f>SUM(C24:C30)</f>
        <v>-221.05300000000005</v>
      </c>
      <c r="D23" s="41">
        <f>SUM(D24:D30)</f>
        <v>156.17600000000004</v>
      </c>
      <c r="E23" s="41">
        <f>SUM(E24:E30)</f>
        <v>-590.56600000000003</v>
      </c>
      <c r="F23" s="41">
        <f>SUM(F24:F30)</f>
        <v>-637.88</v>
      </c>
      <c r="G23" s="41">
        <f>SUM(G24:G30)</f>
        <v>-71.064999999999969</v>
      </c>
      <c r="I23" s="41"/>
      <c r="K23" s="41"/>
    </row>
    <row r="24" spans="2:11">
      <c r="B24" s="11" t="s">
        <v>166</v>
      </c>
      <c r="C24" s="36">
        <v>-498.82400000000001</v>
      </c>
      <c r="D24" s="36">
        <v>-300.47699999999998</v>
      </c>
      <c r="E24" s="36">
        <v>-773.89700000000005</v>
      </c>
      <c r="F24" s="36">
        <v>-861.73199999999997</v>
      </c>
      <c r="G24" s="36">
        <v>-299.39400000000001</v>
      </c>
      <c r="I24" s="36">
        <v>-321.43599999999998</v>
      </c>
      <c r="K24" s="36">
        <v>1393.5250000000001</v>
      </c>
    </row>
    <row r="25" spans="2:11">
      <c r="B25" s="11" t="s">
        <v>167</v>
      </c>
      <c r="C25" s="36">
        <v>0</v>
      </c>
      <c r="D25" s="36">
        <v>-0.222</v>
      </c>
      <c r="E25" s="36">
        <v>-4.6020000000000003</v>
      </c>
      <c r="F25" s="36">
        <v>-1.5580000000000001</v>
      </c>
      <c r="G25" s="36">
        <v>23.646000000000001</v>
      </c>
      <c r="I25" s="36">
        <v>2.649</v>
      </c>
      <c r="K25" s="36">
        <v>3.0920000000000001</v>
      </c>
    </row>
    <row r="26" spans="2:11">
      <c r="B26" s="11" t="s">
        <v>168</v>
      </c>
      <c r="C26" s="36">
        <v>0.27</v>
      </c>
      <c r="D26" s="36">
        <v>-12.154</v>
      </c>
      <c r="E26" s="36">
        <v>5.181</v>
      </c>
      <c r="F26" s="36">
        <v>-10.093</v>
      </c>
      <c r="G26" s="36">
        <v>-28.518999999999998</v>
      </c>
      <c r="I26" s="36">
        <v>-22.603999999999999</v>
      </c>
      <c r="K26" s="36">
        <v>1.024</v>
      </c>
    </row>
    <row r="27" spans="2:11">
      <c r="B27" s="11" t="s">
        <v>169</v>
      </c>
      <c r="C27" s="36">
        <v>29.888000000000002</v>
      </c>
      <c r="D27" s="36">
        <v>76.72</v>
      </c>
      <c r="E27" s="36">
        <v>29.184999999999999</v>
      </c>
      <c r="F27" s="36">
        <v>-247.608</v>
      </c>
      <c r="G27" s="36">
        <v>204.357</v>
      </c>
      <c r="I27" s="36">
        <v>-29.227</v>
      </c>
      <c r="K27" s="36">
        <v>-31.213999999999999</v>
      </c>
    </row>
    <row r="28" spans="2:11">
      <c r="B28" s="11" t="s">
        <v>170</v>
      </c>
      <c r="C28" s="36">
        <v>119.88200000000001</v>
      </c>
      <c r="D28" s="36">
        <v>179.631</v>
      </c>
      <c r="E28" s="36">
        <v>116.655</v>
      </c>
      <c r="F28" s="36">
        <v>173.202</v>
      </c>
      <c r="G28" s="36">
        <v>-184.904</v>
      </c>
      <c r="I28" s="36">
        <v>14.115</v>
      </c>
      <c r="K28" s="36">
        <v>-145.11500000000001</v>
      </c>
    </row>
    <row r="29" spans="2:11">
      <c r="B29" s="11" t="s">
        <v>171</v>
      </c>
      <c r="C29" s="36">
        <v>130.059</v>
      </c>
      <c r="D29" s="36">
        <v>215.89400000000001</v>
      </c>
      <c r="E29" s="36">
        <v>31.902000000000001</v>
      </c>
      <c r="F29" s="36">
        <v>309.15199999999999</v>
      </c>
      <c r="G29" s="36">
        <v>207.298</v>
      </c>
      <c r="I29" s="36">
        <v>94.885000000000005</v>
      </c>
      <c r="K29" s="36">
        <v>110.85599999999999</v>
      </c>
    </row>
    <row r="30" spans="2:11">
      <c r="B30" s="11" t="s">
        <v>46</v>
      </c>
      <c r="C30" s="36">
        <v>-2.3279999999999998</v>
      </c>
      <c r="D30" s="36">
        <v>-3.2160000000000002</v>
      </c>
      <c r="E30" s="36">
        <v>5.01</v>
      </c>
      <c r="F30" s="36">
        <v>0.75700000000000001</v>
      </c>
      <c r="G30" s="36">
        <v>6.4509999999999996</v>
      </c>
      <c r="I30" s="36">
        <v>0.68100000000000005</v>
      </c>
      <c r="K30" s="36">
        <v>-0.50800000000000001</v>
      </c>
    </row>
    <row r="31" spans="2:11">
      <c r="B31" s="11" t="s">
        <v>47</v>
      </c>
      <c r="C31" s="36">
        <v>35.875999999999998</v>
      </c>
      <c r="D31" s="36">
        <v>113.596</v>
      </c>
      <c r="E31" s="36">
        <v>91.962999999999994</v>
      </c>
      <c r="F31" s="36">
        <v>185.31</v>
      </c>
      <c r="G31" s="36">
        <v>323.93400000000003</v>
      </c>
      <c r="I31" s="36">
        <v>94.686000000000007</v>
      </c>
      <c r="K31" s="36">
        <v>251.501</v>
      </c>
    </row>
    <row r="32" spans="2:11">
      <c r="B32" s="11" t="s">
        <v>48</v>
      </c>
      <c r="C32" s="36">
        <v>-17.446000000000002</v>
      </c>
      <c r="D32" s="36">
        <v>-22.917000000000002</v>
      </c>
      <c r="E32" s="36">
        <v>-28.361000000000001</v>
      </c>
      <c r="F32" s="36">
        <v>-31.922000000000001</v>
      </c>
      <c r="G32" s="36">
        <v>-34.631</v>
      </c>
      <c r="I32" s="36">
        <v>-36.741</v>
      </c>
      <c r="K32" s="36">
        <v>-13.945</v>
      </c>
    </row>
    <row r="33" spans="2:11">
      <c r="B33" s="11" t="s">
        <v>49</v>
      </c>
      <c r="C33" s="36">
        <v>-105.47799999999999</v>
      </c>
      <c r="D33" s="36">
        <v>-25.666</v>
      </c>
      <c r="E33" s="36">
        <v>-14.662000000000001</v>
      </c>
      <c r="F33" s="36">
        <v>-10.337</v>
      </c>
      <c r="G33" s="36">
        <v>-82.983999999999995</v>
      </c>
      <c r="I33" s="36">
        <v>-5.1429999999999998</v>
      </c>
      <c r="K33" s="36">
        <v>-40.970999999999997</v>
      </c>
    </row>
    <row r="34" spans="2:11">
      <c r="B34" s="19" t="s">
        <v>125</v>
      </c>
      <c r="C34" s="42">
        <v>385.9049999999998</v>
      </c>
      <c r="D34" s="42">
        <v>1120.4770000000005</v>
      </c>
      <c r="E34" s="42">
        <v>1115.2619999999995</v>
      </c>
      <c r="F34" s="42">
        <v>1690.5329999999999</v>
      </c>
      <c r="G34" s="42">
        <f>SUM(G6:G33)-G23</f>
        <v>3276.4330000000014</v>
      </c>
      <c r="I34" s="42">
        <v>391.28300000000002</v>
      </c>
      <c r="K34" s="42">
        <v>392.36700000000002</v>
      </c>
    </row>
    <row r="35" spans="2:11">
      <c r="B35" s="16" t="s">
        <v>50</v>
      </c>
      <c r="C35" s="36"/>
      <c r="D35" s="36"/>
      <c r="E35" s="36"/>
      <c r="F35" s="36"/>
      <c r="G35" s="36"/>
      <c r="I35" s="36"/>
      <c r="K35" s="36"/>
    </row>
    <row r="36" spans="2:11">
      <c r="B36" s="11" t="s">
        <v>51</v>
      </c>
      <c r="C36" s="36">
        <v>-19.305</v>
      </c>
      <c r="D36" s="36">
        <v>-24.59</v>
      </c>
      <c r="E36" s="36">
        <v>-29.666</v>
      </c>
      <c r="F36" s="36">
        <v>-35.036999999999999</v>
      </c>
      <c r="G36" s="36">
        <v>-25.942</v>
      </c>
      <c r="I36" s="36">
        <v>-14.444000000000001</v>
      </c>
      <c r="K36" s="36">
        <v>-15.752000000000001</v>
      </c>
    </row>
    <row r="37" spans="2:11">
      <c r="B37" s="11" t="s">
        <v>52</v>
      </c>
      <c r="C37" s="36">
        <v>0</v>
      </c>
      <c r="D37" s="36">
        <v>2.5999999999999999E-2</v>
      </c>
      <c r="E37" s="36">
        <v>0.105</v>
      </c>
      <c r="F37" s="36">
        <v>0.66400000000000003</v>
      </c>
      <c r="G37" s="36">
        <v>0</v>
      </c>
      <c r="I37" s="36">
        <f>82/1000</f>
        <v>8.2000000000000003E-2</v>
      </c>
      <c r="K37" s="36">
        <v>0</v>
      </c>
    </row>
    <row r="38" spans="2:11">
      <c r="B38" s="11" t="s">
        <v>53</v>
      </c>
      <c r="C38" s="36">
        <v>-22.553999999999998</v>
      </c>
      <c r="D38" s="36">
        <v>-43.113</v>
      </c>
      <c r="E38" s="36">
        <v>-114.631</v>
      </c>
      <c r="F38" s="36">
        <v>-31.291</v>
      </c>
      <c r="G38" s="36">
        <v>-346.786</v>
      </c>
      <c r="I38" s="36">
        <v>-13.093</v>
      </c>
      <c r="K38" s="36">
        <v>-171.16</v>
      </c>
    </row>
    <row r="39" spans="2:11">
      <c r="B39" s="11" t="s">
        <v>54</v>
      </c>
      <c r="C39" s="36">
        <v>0</v>
      </c>
      <c r="D39" s="36">
        <v>74</v>
      </c>
      <c r="E39" s="36">
        <v>0</v>
      </c>
      <c r="F39" s="36">
        <v>0.35199999999999998</v>
      </c>
      <c r="G39" s="36">
        <v>0</v>
      </c>
      <c r="I39" s="36">
        <v>0</v>
      </c>
      <c r="K39" s="36">
        <v>0</v>
      </c>
    </row>
    <row r="40" spans="2:11">
      <c r="B40" s="11" t="s">
        <v>55</v>
      </c>
      <c r="C40" s="36">
        <v>0</v>
      </c>
      <c r="D40" s="36">
        <v>0</v>
      </c>
      <c r="E40" s="36">
        <v>-4.6500000000000004</v>
      </c>
      <c r="F40" s="36">
        <v>0</v>
      </c>
      <c r="G40" s="36">
        <v>0</v>
      </c>
      <c r="I40" s="36">
        <v>0</v>
      </c>
      <c r="K40" s="36">
        <v>0</v>
      </c>
    </row>
    <row r="41" spans="2:11">
      <c r="B41" s="11" t="s">
        <v>56</v>
      </c>
      <c r="C41" s="36">
        <v>0</v>
      </c>
      <c r="D41" s="36">
        <v>0</v>
      </c>
      <c r="E41" s="36">
        <v>4.5</v>
      </c>
      <c r="F41" s="36">
        <v>0</v>
      </c>
      <c r="G41" s="36">
        <v>0</v>
      </c>
      <c r="I41" s="36">
        <v>0</v>
      </c>
      <c r="K41" s="36">
        <v>0</v>
      </c>
    </row>
    <row r="42" spans="2:11">
      <c r="B42" s="11" t="s">
        <v>57</v>
      </c>
      <c r="C42" s="36">
        <v>0</v>
      </c>
      <c r="D42" s="36">
        <v>-10.044</v>
      </c>
      <c r="E42" s="36">
        <v>0</v>
      </c>
      <c r="F42" s="36">
        <v>0</v>
      </c>
      <c r="G42" s="36">
        <v>0</v>
      </c>
      <c r="I42" s="36">
        <v>0</v>
      </c>
      <c r="K42" s="36">
        <v>0</v>
      </c>
    </row>
    <row r="43" spans="2:11">
      <c r="B43" s="11" t="s">
        <v>189</v>
      </c>
      <c r="C43" s="36">
        <v>52.101999999999997</v>
      </c>
      <c r="D43" s="36">
        <v>-13.77</v>
      </c>
      <c r="E43" s="36">
        <v>0</v>
      </c>
      <c r="F43" s="36">
        <v>0</v>
      </c>
      <c r="G43" s="36">
        <v>-245.279</v>
      </c>
      <c r="I43" s="36">
        <v>0</v>
      </c>
      <c r="K43" s="36">
        <v>0</v>
      </c>
    </row>
    <row r="44" spans="2:11">
      <c r="B44" s="11" t="s">
        <v>153</v>
      </c>
      <c r="C44" s="36">
        <v>0</v>
      </c>
      <c r="D44" s="36">
        <v>0</v>
      </c>
      <c r="E44" s="36">
        <v>0</v>
      </c>
      <c r="F44" s="36">
        <v>0</v>
      </c>
      <c r="G44" s="36">
        <v>-100</v>
      </c>
      <c r="I44" s="36">
        <v>0</v>
      </c>
      <c r="K44" s="36">
        <v>-100</v>
      </c>
    </row>
    <row r="45" spans="2:11">
      <c r="B45" s="11" t="s">
        <v>133</v>
      </c>
      <c r="C45" s="36">
        <v>0</v>
      </c>
      <c r="D45" s="36">
        <v>0</v>
      </c>
      <c r="E45" s="36">
        <v>0</v>
      </c>
      <c r="F45" s="36">
        <v>-0.4</v>
      </c>
      <c r="G45" s="36">
        <v>0</v>
      </c>
      <c r="I45" s="36">
        <f>-300/1000</f>
        <v>-0.3</v>
      </c>
      <c r="K45" s="36">
        <v>0</v>
      </c>
    </row>
    <row r="46" spans="2:11">
      <c r="B46" s="11" t="s">
        <v>132</v>
      </c>
      <c r="C46" s="36">
        <v>0</v>
      </c>
      <c r="D46" s="36">
        <v>0</v>
      </c>
      <c r="E46" s="36">
        <v>0</v>
      </c>
      <c r="F46" s="36">
        <v>0.55000000000000004</v>
      </c>
      <c r="G46" s="36">
        <v>0</v>
      </c>
      <c r="I46" s="36">
        <v>0</v>
      </c>
      <c r="K46" s="36">
        <v>0</v>
      </c>
    </row>
    <row r="47" spans="2:11">
      <c r="B47" s="11" t="s">
        <v>131</v>
      </c>
      <c r="C47" s="36">
        <v>0</v>
      </c>
      <c r="D47" s="36">
        <v>0</v>
      </c>
      <c r="E47" s="36">
        <v>0</v>
      </c>
      <c r="F47" s="36">
        <v>79.8</v>
      </c>
      <c r="G47" s="36">
        <v>0</v>
      </c>
      <c r="I47" s="36">
        <v>0</v>
      </c>
      <c r="K47" s="36">
        <v>0</v>
      </c>
    </row>
    <row r="48" spans="2:11">
      <c r="B48" s="11" t="s">
        <v>186</v>
      </c>
      <c r="C48" s="36">
        <v>0</v>
      </c>
      <c r="D48" s="36">
        <v>0</v>
      </c>
      <c r="E48" s="36">
        <v>0</v>
      </c>
      <c r="F48" s="36">
        <v>0</v>
      </c>
      <c r="G48" s="36">
        <v>-65.632000000000005</v>
      </c>
      <c r="I48" s="36"/>
      <c r="K48" s="36"/>
    </row>
    <row r="49" spans="2:11">
      <c r="B49" s="20" t="s">
        <v>58</v>
      </c>
      <c r="C49" s="43">
        <v>10.243000000000002</v>
      </c>
      <c r="D49" s="43">
        <v>-17.490999999999993</v>
      </c>
      <c r="E49" s="43">
        <v>-144.34200000000001</v>
      </c>
      <c r="F49" s="43">
        <v>14.638</v>
      </c>
      <c r="G49" s="43">
        <f>SUM(G36:G48)</f>
        <v>-783.63900000000012</v>
      </c>
      <c r="I49" s="43">
        <v>-27.754999999999999</v>
      </c>
      <c r="K49" s="43">
        <v>-286.91199999999998</v>
      </c>
    </row>
    <row r="50" spans="2:11">
      <c r="B50" s="16" t="s">
        <v>59</v>
      </c>
      <c r="C50" s="36"/>
      <c r="D50" s="36"/>
      <c r="E50" s="36"/>
      <c r="F50" s="36"/>
      <c r="G50" s="36"/>
      <c r="I50" s="36"/>
      <c r="K50" s="36"/>
    </row>
    <row r="51" spans="2:11">
      <c r="B51" s="11" t="s">
        <v>60</v>
      </c>
      <c r="C51" s="36">
        <v>0</v>
      </c>
      <c r="D51" s="36">
        <v>74.867000000000004</v>
      </c>
      <c r="E51" s="36">
        <v>9.18</v>
      </c>
      <c r="F51" s="36">
        <v>9.5719999999999992</v>
      </c>
      <c r="G51" s="36">
        <v>200</v>
      </c>
      <c r="I51" s="36">
        <v>1.19</v>
      </c>
      <c r="K51" s="36">
        <v>0</v>
      </c>
    </row>
    <row r="52" spans="2:11">
      <c r="B52" s="11" t="s">
        <v>61</v>
      </c>
      <c r="C52" s="36">
        <v>0</v>
      </c>
      <c r="D52" s="36">
        <v>0</v>
      </c>
      <c r="E52" s="36">
        <v>-15.547000000000001</v>
      </c>
      <c r="F52" s="36">
        <v>-3.5</v>
      </c>
      <c r="G52" s="36">
        <v>-202.072</v>
      </c>
      <c r="I52" s="36">
        <v>0</v>
      </c>
      <c r="K52" s="36">
        <v>-2.0720000000000001</v>
      </c>
    </row>
    <row r="53" spans="2:11">
      <c r="B53" s="11" t="s">
        <v>62</v>
      </c>
      <c r="C53" s="36">
        <v>-7.19</v>
      </c>
      <c r="D53" s="36">
        <v>-8.4890000000000008</v>
      </c>
      <c r="E53" s="36">
        <v>-12.638</v>
      </c>
      <c r="F53" s="36">
        <v>-16.812000000000001</v>
      </c>
      <c r="G53" s="36">
        <v>-18.067</v>
      </c>
      <c r="I53" s="36">
        <v>-8.5050000000000008</v>
      </c>
      <c r="K53" s="36">
        <v>-8.9700000000000006</v>
      </c>
    </row>
    <row r="54" spans="2:11">
      <c r="B54" s="11" t="s">
        <v>63</v>
      </c>
      <c r="C54" s="36">
        <v>1.6</v>
      </c>
      <c r="D54" s="36">
        <v>11.4</v>
      </c>
      <c r="E54" s="36">
        <v>1.95</v>
      </c>
      <c r="F54" s="36">
        <v>102.66</v>
      </c>
      <c r="G54" s="36">
        <v>0</v>
      </c>
      <c r="I54" s="36">
        <v>101.46299999999999</v>
      </c>
      <c r="K54" s="36">
        <v>0</v>
      </c>
    </row>
    <row r="55" spans="2:11">
      <c r="B55" s="11" t="s">
        <v>64</v>
      </c>
      <c r="C55" s="36">
        <v>-32</v>
      </c>
      <c r="D55" s="36">
        <v>-2.37</v>
      </c>
      <c r="E55" s="36">
        <v>-19.2</v>
      </c>
      <c r="F55" s="36">
        <v>-101.75</v>
      </c>
      <c r="G55" s="36">
        <v>-2.66</v>
      </c>
      <c r="I55" s="36">
        <v>-1.75</v>
      </c>
      <c r="K55" s="36">
        <v>-2.66</v>
      </c>
    </row>
    <row r="56" spans="2:11">
      <c r="B56" s="11" t="s">
        <v>65</v>
      </c>
      <c r="C56" s="36">
        <v>0</v>
      </c>
      <c r="D56" s="36">
        <v>0</v>
      </c>
      <c r="E56" s="36">
        <v>-22.306000000000001</v>
      </c>
      <c r="F56" s="36">
        <v>0</v>
      </c>
      <c r="G56" s="36">
        <v>0</v>
      </c>
      <c r="I56" s="36">
        <v>0</v>
      </c>
      <c r="K56" s="36">
        <v>0</v>
      </c>
    </row>
    <row r="57" spans="2:11">
      <c r="B57" s="11" t="s">
        <v>66</v>
      </c>
      <c r="C57" s="36">
        <v>0</v>
      </c>
      <c r="D57" s="36">
        <v>0</v>
      </c>
      <c r="E57" s="36">
        <v>57.4</v>
      </c>
      <c r="F57" s="36">
        <v>12.000999999999999</v>
      </c>
      <c r="G57" s="36">
        <v>0</v>
      </c>
      <c r="I57" s="36">
        <f>1/1000</f>
        <v>1E-3</v>
      </c>
      <c r="K57" s="36">
        <v>0</v>
      </c>
    </row>
    <row r="58" spans="2:11">
      <c r="B58" s="11" t="s">
        <v>154</v>
      </c>
      <c r="C58" s="36">
        <v>-311.30500000000001</v>
      </c>
      <c r="D58" s="36">
        <v>-545.40300000000002</v>
      </c>
      <c r="E58" s="36">
        <v>-891.86199999999997</v>
      </c>
      <c r="F58" s="36">
        <v>-1455.2090000000001</v>
      </c>
      <c r="G58" s="36">
        <v>-717.42</v>
      </c>
      <c r="I58" s="36">
        <v>-1455.2090000000001</v>
      </c>
      <c r="K58" s="36">
        <v>-717.42100000000005</v>
      </c>
    </row>
    <row r="59" spans="2:11">
      <c r="B59" s="11" t="s">
        <v>67</v>
      </c>
      <c r="C59" s="36">
        <v>-16.167000000000002</v>
      </c>
      <c r="D59" s="36">
        <v>-45.716000000000001</v>
      </c>
      <c r="E59" s="36">
        <v>-62.384999999999998</v>
      </c>
      <c r="F59" s="36">
        <v>-195.43299999999999</v>
      </c>
      <c r="G59" s="36">
        <v>-44.289000000000001</v>
      </c>
      <c r="I59" s="36">
        <v>-111.628</v>
      </c>
      <c r="K59" s="36">
        <v>-44.29</v>
      </c>
    </row>
    <row r="60" spans="2:11">
      <c r="B60" s="11" t="s">
        <v>68</v>
      </c>
      <c r="C60" s="36">
        <v>0</v>
      </c>
      <c r="D60" s="36">
        <v>0</v>
      </c>
      <c r="E60" s="36">
        <v>-546</v>
      </c>
      <c r="F60" s="36">
        <v>0</v>
      </c>
      <c r="G60" s="36">
        <v>0</v>
      </c>
      <c r="I60" s="36">
        <v>0</v>
      </c>
      <c r="K60" s="36">
        <v>0</v>
      </c>
    </row>
    <row r="61" spans="2:11">
      <c r="B61" s="11" t="s">
        <v>69</v>
      </c>
      <c r="C61" s="36">
        <v>745.20399999999995</v>
      </c>
      <c r="D61" s="36">
        <v>0</v>
      </c>
      <c r="E61" s="36">
        <v>0</v>
      </c>
      <c r="F61" s="36">
        <v>0</v>
      </c>
      <c r="G61" s="36">
        <v>0</v>
      </c>
      <c r="I61" s="36">
        <v>0</v>
      </c>
      <c r="K61" s="36">
        <v>0</v>
      </c>
    </row>
    <row r="62" spans="2:11">
      <c r="B62" s="11" t="s">
        <v>156</v>
      </c>
      <c r="C62" s="36">
        <v>0</v>
      </c>
      <c r="D62" s="36">
        <v>0</v>
      </c>
      <c r="E62" s="36">
        <v>0</v>
      </c>
      <c r="F62" s="36">
        <v>9.9860000000000007</v>
      </c>
      <c r="G62" s="36">
        <v>0</v>
      </c>
      <c r="I62" s="36">
        <v>9.9860000000000007</v>
      </c>
      <c r="K62" s="36">
        <v>0</v>
      </c>
    </row>
    <row r="63" spans="2:11">
      <c r="B63" s="11" t="s">
        <v>155</v>
      </c>
      <c r="C63" s="36">
        <v>0</v>
      </c>
      <c r="D63" s="36">
        <v>0</v>
      </c>
      <c r="E63" s="36">
        <v>0</v>
      </c>
      <c r="F63" s="36">
        <v>48</v>
      </c>
      <c r="G63" s="36">
        <v>0</v>
      </c>
      <c r="I63" s="36">
        <v>0</v>
      </c>
      <c r="K63" s="36">
        <v>0</v>
      </c>
    </row>
    <row r="64" spans="2:11">
      <c r="B64" s="21" t="s">
        <v>70</v>
      </c>
      <c r="C64" s="44">
        <v>380.14199999999994</v>
      </c>
      <c r="D64" s="44">
        <v>-515.71100000000001</v>
      </c>
      <c r="E64" s="44">
        <v>-1501.4079999999999</v>
      </c>
      <c r="F64" s="44">
        <v>-1590.4849999999999</v>
      </c>
      <c r="G64" s="44">
        <f>SUM(G51:G63)</f>
        <v>-784.50799999999992</v>
      </c>
      <c r="I64" s="44">
        <v>-1464.452</v>
      </c>
      <c r="K64" s="44">
        <v>-775.41300000000001</v>
      </c>
    </row>
    <row r="65" spans="2:11">
      <c r="B65" s="19" t="s">
        <v>71</v>
      </c>
      <c r="C65" s="42">
        <v>776.28999999999974</v>
      </c>
      <c r="D65" s="42">
        <v>587.27500000000055</v>
      </c>
      <c r="E65" s="42">
        <v>-530.4880000000004</v>
      </c>
      <c r="F65" s="42">
        <v>114.68600000000001</v>
      </c>
      <c r="G65" s="42">
        <f>G34+G49+G64</f>
        <v>1708.2860000000014</v>
      </c>
      <c r="I65" s="42">
        <v>-1100.924</v>
      </c>
      <c r="K65" s="42">
        <v>-669.95799999999997</v>
      </c>
    </row>
    <row r="66" spans="2:11">
      <c r="B66" s="11" t="s">
        <v>72</v>
      </c>
      <c r="C66" s="36">
        <v>0</v>
      </c>
      <c r="D66" s="36">
        <v>2.7E-2</v>
      </c>
      <c r="E66" s="36">
        <v>1.4999999999999999E-2</v>
      </c>
      <c r="F66" s="36">
        <v>3.0000000000000001E-3</v>
      </c>
      <c r="G66" s="36">
        <f>-1/1000</f>
        <v>-1E-3</v>
      </c>
      <c r="I66" s="36">
        <f>-2/1000</f>
        <v>-2E-3</v>
      </c>
      <c r="K66" s="36">
        <f>-2/1000</f>
        <v>-2E-3</v>
      </c>
    </row>
    <row r="67" spans="2:11">
      <c r="B67" s="21" t="s">
        <v>73</v>
      </c>
      <c r="C67" s="44">
        <v>418.12900000000002</v>
      </c>
      <c r="D67" s="44">
        <v>1194.4189999999999</v>
      </c>
      <c r="E67" s="44">
        <v>1781.7210000000005</v>
      </c>
      <c r="F67" s="44">
        <f>E68</f>
        <v>1251.2480000000003</v>
      </c>
      <c r="G67" s="44">
        <f>F68</f>
        <v>1365.9369999999999</v>
      </c>
      <c r="I67" s="44">
        <v>1251.248</v>
      </c>
      <c r="K67" s="44">
        <v>1365.9369999999999</v>
      </c>
    </row>
    <row r="68" spans="2:11" ht="18.75" thickBot="1">
      <c r="B68" s="22" t="s">
        <v>74</v>
      </c>
      <c r="C68" s="45">
        <v>1194.4189999999999</v>
      </c>
      <c r="D68" s="45">
        <v>1781.7210000000005</v>
      </c>
      <c r="E68" s="45">
        <v>1251.2480000000003</v>
      </c>
      <c r="F68" s="45">
        <v>1365.9369999999999</v>
      </c>
      <c r="G68" s="45">
        <f>G67+G65</f>
        <v>3074.2230000000013</v>
      </c>
      <c r="I68" s="45">
        <v>150.322</v>
      </c>
      <c r="K68" s="45">
        <v>695.97699999999998</v>
      </c>
    </row>
    <row r="69" spans="2:11" ht="18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9F8A-9E0B-6149-92D6-2FF630A73F06}">
  <dimension ref="B2:M52"/>
  <sheetViews>
    <sheetView showGridLines="0" workbookViewId="0">
      <selection activeCell="I1" sqref="I1:I1048576"/>
    </sheetView>
  </sheetViews>
  <sheetFormatPr defaultColWidth="11.44140625" defaultRowHeight="18"/>
  <cols>
    <col min="2" max="2" width="45.5546875" style="11" customWidth="1"/>
    <col min="3" max="4" width="11.109375" style="11" customWidth="1"/>
    <col min="5" max="5" width="11.44140625" style="11" customWidth="1"/>
    <col min="6" max="6" width="11.109375" style="11" customWidth="1"/>
    <col min="7" max="8" width="11.44140625" customWidth="1"/>
    <col min="9" max="9" width="11.44140625" style="80" customWidth="1"/>
    <col min="10" max="10" width="18.109375" customWidth="1"/>
    <col min="11" max="11" width="6.44140625" customWidth="1"/>
    <col min="12" max="12" width="18" customWidth="1"/>
    <col min="13" max="13" width="11.44140625" customWidth="1"/>
  </cols>
  <sheetData>
    <row r="2" spans="2:12">
      <c r="D2" s="5"/>
      <c r="E2" s="5"/>
      <c r="F2" s="5"/>
    </row>
    <row r="3" spans="2:12" ht="51.95" customHeight="1">
      <c r="B3" s="6" t="s">
        <v>75</v>
      </c>
      <c r="C3" s="27" t="s">
        <v>94</v>
      </c>
      <c r="D3" s="7">
        <v>2021</v>
      </c>
      <c r="E3" s="7">
        <v>2022</v>
      </c>
      <c r="F3" s="7">
        <v>2023</v>
      </c>
      <c r="G3" s="7">
        <v>2024</v>
      </c>
      <c r="H3" s="7">
        <v>2025</v>
      </c>
      <c r="J3" s="74" t="s">
        <v>160</v>
      </c>
      <c r="L3" s="74" t="s">
        <v>161</v>
      </c>
    </row>
    <row r="4" spans="2:12" ht="16.5">
      <c r="B4" s="23"/>
      <c r="C4" s="58"/>
      <c r="D4" s="24"/>
      <c r="E4" s="24"/>
      <c r="F4" s="24"/>
      <c r="G4" s="24"/>
      <c r="H4" s="24"/>
      <c r="J4" s="24"/>
      <c r="L4" s="24"/>
    </row>
    <row r="5" spans="2:12" ht="20.25">
      <c r="B5" s="60" t="s">
        <v>138</v>
      </c>
      <c r="C5" s="61"/>
      <c r="D5" s="62"/>
      <c r="E5" s="62"/>
      <c r="F5" s="62"/>
      <c r="G5" s="63"/>
      <c r="H5" s="63"/>
      <c r="J5" s="63"/>
      <c r="K5" s="63"/>
      <c r="L5" s="63"/>
    </row>
    <row r="6" spans="2:12" ht="20.25">
      <c r="B6" s="59"/>
      <c r="C6" s="28"/>
    </row>
    <row r="7" spans="2:12">
      <c r="B7" s="16" t="s">
        <v>190</v>
      </c>
      <c r="C7" s="51" t="s">
        <v>76</v>
      </c>
      <c r="D7" s="53">
        <f>PL!C5</f>
        <v>1554.953</v>
      </c>
      <c r="E7" s="53">
        <f>PL!D5</f>
        <v>2494.1239999999998</v>
      </c>
      <c r="F7" s="53">
        <f>PL!E5</f>
        <v>3950.6860000000001</v>
      </c>
      <c r="G7" s="53">
        <f>PL!F5</f>
        <v>6014.692</v>
      </c>
      <c r="H7" s="53">
        <f>PL!G5</f>
        <v>8753.393</v>
      </c>
      <c r="J7" s="53">
        <f>PL!I5</f>
        <v>2328.6210000000001</v>
      </c>
      <c r="L7" s="53">
        <f>PL!K5</f>
        <v>1356.4259999999999</v>
      </c>
    </row>
    <row r="8" spans="2:12">
      <c r="B8" s="18" t="s">
        <v>87</v>
      </c>
      <c r="C8" s="28" t="s">
        <v>97</v>
      </c>
      <c r="D8" s="18"/>
      <c r="E8" s="50">
        <f>E7/D7-1</f>
        <v>0.60398674429387889</v>
      </c>
      <c r="F8" s="50">
        <f>F7/E7-1</f>
        <v>0.58399742755372253</v>
      </c>
      <c r="G8" s="50">
        <f>G7/F7-1</f>
        <v>0.52244243151695668</v>
      </c>
      <c r="H8" s="50">
        <f>H7/G7-1</f>
        <v>0.45533520253406157</v>
      </c>
      <c r="J8" s="50"/>
      <c r="L8" s="50">
        <f>L7/J7-1</f>
        <v>-0.4174981673703021</v>
      </c>
    </row>
    <row r="9" spans="2:12">
      <c r="B9" s="29" t="s">
        <v>191</v>
      </c>
      <c r="C9" s="70" t="s">
        <v>76</v>
      </c>
      <c r="D9" s="17"/>
      <c r="E9" s="17"/>
      <c r="F9" s="17"/>
      <c r="G9" s="17">
        <f>SUM(G10:G12)</f>
        <v>4544.8629999999994</v>
      </c>
      <c r="H9" s="17">
        <f>SUM(H10:H12)</f>
        <v>5588.3159999999998</v>
      </c>
      <c r="I9" s="88"/>
      <c r="J9" s="17">
        <v>1595.8</v>
      </c>
      <c r="L9" s="17">
        <v>366.12299999999999</v>
      </c>
    </row>
    <row r="10" spans="2:12">
      <c r="B10" s="79" t="s">
        <v>192</v>
      </c>
      <c r="C10" s="70" t="s">
        <v>76</v>
      </c>
      <c r="D10" s="17"/>
      <c r="E10" s="17"/>
      <c r="F10" s="17"/>
      <c r="G10" s="87">
        <v>3926.808</v>
      </c>
      <c r="H10" s="87">
        <v>4844.1030000000001</v>
      </c>
      <c r="I10" s="88"/>
      <c r="J10" s="17">
        <v>290.14699999999999</v>
      </c>
      <c r="L10" s="17">
        <v>239.86600000000001</v>
      </c>
    </row>
    <row r="11" spans="2:12">
      <c r="B11" s="79" t="s">
        <v>193</v>
      </c>
      <c r="C11" s="70" t="s">
        <v>76</v>
      </c>
      <c r="D11" s="17"/>
      <c r="E11" s="17"/>
      <c r="F11" s="17"/>
      <c r="G11" s="87">
        <v>192.32400000000001</v>
      </c>
      <c r="H11" s="87">
        <v>288.392</v>
      </c>
      <c r="I11" s="88"/>
      <c r="J11" s="17">
        <v>339.39299999999997</v>
      </c>
      <c r="L11" s="17">
        <v>609.52</v>
      </c>
    </row>
    <row r="12" spans="2:12">
      <c r="B12" s="79" t="s">
        <v>194</v>
      </c>
      <c r="C12" s="70" t="s">
        <v>76</v>
      </c>
      <c r="D12" s="17"/>
      <c r="E12" s="17"/>
      <c r="F12" s="17"/>
      <c r="G12" s="87">
        <v>425.73099999999999</v>
      </c>
      <c r="H12" s="87">
        <v>455.82100000000003</v>
      </c>
      <c r="I12" s="88"/>
      <c r="J12" s="17">
        <v>24.648</v>
      </c>
      <c r="L12" s="17">
        <v>30.521999999999998</v>
      </c>
    </row>
    <row r="13" spans="2:12">
      <c r="B13" s="11" t="s">
        <v>195</v>
      </c>
      <c r="C13" s="70" t="s">
        <v>76</v>
      </c>
      <c r="D13" s="17"/>
      <c r="E13" s="17"/>
      <c r="F13" s="17"/>
      <c r="G13" s="17">
        <v>549.62800000000004</v>
      </c>
      <c r="H13" s="17">
        <v>1813.7819999999999</v>
      </c>
      <c r="I13" s="88"/>
      <c r="J13" s="17">
        <v>78.632999999999996</v>
      </c>
      <c r="L13" s="17">
        <v>110.395</v>
      </c>
    </row>
    <row r="14" spans="2:12">
      <c r="B14" s="11" t="s">
        <v>196</v>
      </c>
      <c r="C14" s="70" t="s">
        <v>76</v>
      </c>
      <c r="D14" s="17"/>
      <c r="E14" s="17"/>
      <c r="F14" s="17"/>
      <c r="G14" s="17">
        <v>858.18600000000004</v>
      </c>
      <c r="H14" s="17">
        <v>1288.972</v>
      </c>
      <c r="I14" s="88"/>
      <c r="J14" s="17"/>
      <c r="L14" s="17"/>
    </row>
    <row r="15" spans="2:12">
      <c r="B15" s="11" t="s">
        <v>197</v>
      </c>
      <c r="C15" s="70" t="s">
        <v>76</v>
      </c>
      <c r="D15" s="17"/>
      <c r="E15" s="17"/>
      <c r="F15" s="17"/>
      <c r="G15" s="17">
        <v>62.015000000000001</v>
      </c>
      <c r="H15" s="17">
        <v>62.323</v>
      </c>
      <c r="I15" s="88"/>
      <c r="J15" s="17"/>
      <c r="L15" s="17"/>
    </row>
    <row r="17" spans="2:13">
      <c r="B17" s="16" t="s">
        <v>173</v>
      </c>
      <c r="C17" s="52" t="s">
        <v>76</v>
      </c>
      <c r="D17" s="53">
        <f>PL!C24</f>
        <v>651.20899999999995</v>
      </c>
      <c r="E17" s="53">
        <f>PL!D24</f>
        <v>970.33499999999947</v>
      </c>
      <c r="F17" s="53">
        <f>PL!E24</f>
        <v>1456.4330000000004</v>
      </c>
      <c r="G17" s="53">
        <f>PL!F24</f>
        <v>1938.4220000000005</v>
      </c>
      <c r="H17" s="53">
        <f>PL!G24</f>
        <v>2955.5809999999997</v>
      </c>
      <c r="J17" s="53">
        <f>PL!I24</f>
        <v>608.029</v>
      </c>
      <c r="L17" s="53">
        <f>PL!K24</f>
        <v>-920.04399999999998</v>
      </c>
    </row>
    <row r="18" spans="2:13">
      <c r="B18" s="11" t="s">
        <v>89</v>
      </c>
      <c r="C18" s="51" t="s">
        <v>76</v>
      </c>
      <c r="D18" s="54">
        <v>-41.859000000000002</v>
      </c>
      <c r="E18" s="54">
        <v>-67.703000000000003</v>
      </c>
      <c r="F18" s="54">
        <v>-144.297</v>
      </c>
      <c r="G18" s="54">
        <v>-66.328000000000003</v>
      </c>
      <c r="H18" s="54">
        <v>-372.72800000000001</v>
      </c>
      <c r="J18" s="54">
        <v>-27.536999999999999</v>
      </c>
      <c r="L18" s="54">
        <v>-337.16</v>
      </c>
    </row>
    <row r="19" spans="2:13">
      <c r="B19" s="11" t="s">
        <v>134</v>
      </c>
      <c r="C19" s="51" t="s">
        <v>76</v>
      </c>
      <c r="D19" s="17">
        <f>-PL!C10</f>
        <v>29.372</v>
      </c>
      <c r="E19" s="17">
        <f>-PL!D10</f>
        <v>47.966000000000001</v>
      </c>
      <c r="F19" s="17">
        <f>-PL!E10</f>
        <v>67.03</v>
      </c>
      <c r="G19" s="17">
        <f>-PL!F10</f>
        <v>102.735</v>
      </c>
      <c r="H19" s="17">
        <f>-PL!G10</f>
        <v>159.76300000000001</v>
      </c>
      <c r="J19" s="17">
        <v>47.039000000000001</v>
      </c>
      <c r="L19" s="17">
        <v>63.753999999999998</v>
      </c>
    </row>
    <row r="20" spans="2:13">
      <c r="B20" s="11" t="s">
        <v>127</v>
      </c>
      <c r="C20" s="51" t="s">
        <v>76</v>
      </c>
      <c r="D20" s="38">
        <v>0</v>
      </c>
      <c r="E20" s="38">
        <v>0</v>
      </c>
      <c r="F20" s="38">
        <v>0</v>
      </c>
      <c r="G20" s="54">
        <f>CF!F21</f>
        <v>258.34899999999999</v>
      </c>
      <c r="H20" s="54">
        <f>-PL!G9</f>
        <v>79.724999999999994</v>
      </c>
      <c r="J20" s="54">
        <v>0</v>
      </c>
      <c r="L20" s="54">
        <v>55.472000000000001</v>
      </c>
    </row>
    <row r="21" spans="2:13">
      <c r="B21" s="16" t="s">
        <v>135</v>
      </c>
      <c r="C21" s="52" t="s">
        <v>76</v>
      </c>
      <c r="D21" s="53">
        <f>SUM(D17:D20)</f>
        <v>638.72199999999987</v>
      </c>
      <c r="E21" s="53">
        <f>SUM(E17:E20)</f>
        <v>950.5979999999995</v>
      </c>
      <c r="F21" s="53">
        <f>SUM(F17:F20)</f>
        <v>1379.1660000000004</v>
      </c>
      <c r="G21" s="53">
        <f>SUM(G17:G20)</f>
        <v>2233.1780000000003</v>
      </c>
      <c r="H21" s="53">
        <f>SUM(H17:H20)</f>
        <v>2822.3409999999994</v>
      </c>
      <c r="I21" s="89"/>
      <c r="J21" s="53">
        <f>SUM(J17:J20)</f>
        <v>627.53099999999995</v>
      </c>
      <c r="L21" s="53">
        <f>SUM(L17:L20)</f>
        <v>-1137.9780000000001</v>
      </c>
    </row>
    <row r="23" spans="2:13">
      <c r="B23" s="16" t="s">
        <v>88</v>
      </c>
      <c r="C23" s="52" t="s">
        <v>76</v>
      </c>
      <c r="D23" s="53">
        <f>PL!C15-PL!C10</f>
        <v>693.79599999999994</v>
      </c>
      <c r="E23" s="53">
        <f>PL!D15-PL!D10</f>
        <v>904.18599999999958</v>
      </c>
      <c r="F23" s="53">
        <f>PL!E15-PL!E10</f>
        <v>1661.8610000000003</v>
      </c>
      <c r="G23" s="53">
        <f>PL!F15-PL!F10</f>
        <v>1934.1140000000005</v>
      </c>
      <c r="H23" s="53">
        <f>PL!G15-PL!G10</f>
        <v>3076.4209999999998</v>
      </c>
      <c r="I23" s="78"/>
      <c r="J23" s="53">
        <f>PL!I15-PL!I10</f>
        <v>601.21899999999994</v>
      </c>
      <c r="L23" s="53">
        <f>PL!K15-PL!K10</f>
        <v>-1190.7530000000002</v>
      </c>
    </row>
    <row r="24" spans="2:13">
      <c r="B24" s="11" t="s">
        <v>127</v>
      </c>
      <c r="C24" s="51" t="s">
        <v>76</v>
      </c>
      <c r="D24" s="38">
        <v>0</v>
      </c>
      <c r="E24" s="38">
        <v>0</v>
      </c>
      <c r="F24" s="38">
        <v>0</v>
      </c>
      <c r="G24" s="54">
        <f>CF!F21</f>
        <v>258.34899999999999</v>
      </c>
      <c r="H24" s="54">
        <f>-PL!G9</f>
        <v>79.724999999999994</v>
      </c>
      <c r="J24" s="54">
        <v>0</v>
      </c>
      <c r="L24" s="54">
        <v>55.472000000000001</v>
      </c>
    </row>
    <row r="25" spans="2:13">
      <c r="B25" s="16" t="s">
        <v>144</v>
      </c>
      <c r="C25" s="52" t="s">
        <v>76</v>
      </c>
      <c r="D25" s="53">
        <f>D23+D24</f>
        <v>693.79599999999994</v>
      </c>
      <c r="E25" s="53">
        <f t="shared" ref="E25:L25" si="0">E23+E24</f>
        <v>904.18599999999958</v>
      </c>
      <c r="F25" s="53">
        <f t="shared" si="0"/>
        <v>1661.8610000000003</v>
      </c>
      <c r="G25" s="53">
        <f t="shared" si="0"/>
        <v>2192.4630000000006</v>
      </c>
      <c r="H25" s="53">
        <f t="shared" si="0"/>
        <v>3156.1459999999997</v>
      </c>
      <c r="J25" s="53">
        <f t="shared" si="0"/>
        <v>601.21899999999994</v>
      </c>
      <c r="L25" s="53">
        <f t="shared" si="0"/>
        <v>-1135.2810000000002</v>
      </c>
    </row>
    <row r="26" spans="2:13">
      <c r="B26" s="11" t="s">
        <v>89</v>
      </c>
      <c r="C26" s="51" t="s">
        <v>76</v>
      </c>
      <c r="D26" s="54">
        <v>-41.859000000000002</v>
      </c>
      <c r="E26" s="54">
        <v>-67.703000000000003</v>
      </c>
      <c r="F26" s="54">
        <v>-144.297</v>
      </c>
      <c r="G26" s="54">
        <v>-66.328000000000003</v>
      </c>
      <c r="H26" s="54">
        <f>H18</f>
        <v>-372.72800000000001</v>
      </c>
      <c r="J26" s="54">
        <v>-27.536999999999999</v>
      </c>
      <c r="L26" s="54">
        <v>-337.16</v>
      </c>
    </row>
    <row r="27" spans="2:13">
      <c r="B27" s="16" t="s">
        <v>90</v>
      </c>
      <c r="C27" s="52" t="s">
        <v>76</v>
      </c>
      <c r="D27" s="53">
        <f>D25+D26</f>
        <v>651.9369999999999</v>
      </c>
      <c r="E27" s="53">
        <f>E25+E26</f>
        <v>836.48299999999961</v>
      </c>
      <c r="F27" s="53">
        <f>F25+F26</f>
        <v>1517.5640000000003</v>
      </c>
      <c r="G27" s="53">
        <f>G25+G26</f>
        <v>2126.1350000000007</v>
      </c>
      <c r="H27" s="53">
        <f>H25+H26</f>
        <v>2783.4179999999997</v>
      </c>
      <c r="I27" s="90"/>
      <c r="J27" s="53">
        <f>J25+J26</f>
        <v>573.6819999999999</v>
      </c>
      <c r="L27" s="53">
        <f>L25+L26</f>
        <v>-1472.4410000000003</v>
      </c>
    </row>
    <row r="28" spans="2:13">
      <c r="F28" s="55"/>
      <c r="G28" s="55"/>
      <c r="H28" s="55"/>
      <c r="J28" s="55"/>
      <c r="L28" s="55"/>
    </row>
    <row r="29" spans="2:13">
      <c r="B29" s="16" t="s">
        <v>91</v>
      </c>
      <c r="C29" s="52" t="s">
        <v>76</v>
      </c>
      <c r="D29" s="53">
        <f>-D30+D31+D32+D33+D34+D36</f>
        <v>-1046.4270000000001</v>
      </c>
      <c r="E29" s="53">
        <f>-E30+E31+E32+E33+E34+E36</f>
        <v>-1543.06</v>
      </c>
      <c r="F29" s="53">
        <f>-F30+F31+F32+F33+F34+F36</f>
        <v>-1046.384</v>
      </c>
      <c r="G29" s="53">
        <f>-G30+G31+G32+G33+G34+G36</f>
        <v>-1151.0369999999996</v>
      </c>
      <c r="H29" s="53">
        <f>-H30+H31+H32+H33+H34+H36</f>
        <v>-2844.0099999999998</v>
      </c>
      <c r="J29" s="53">
        <f>-J30+J31+J32+J33+J34+J35+J36</f>
        <v>166.80599999999998</v>
      </c>
      <c r="K29" s="53"/>
      <c r="L29" s="53">
        <f>-L30+L31+L32+L33+L34+L36</f>
        <v>-497.20999999999992</v>
      </c>
    </row>
    <row r="30" spans="2:13">
      <c r="B30" s="29" t="s">
        <v>93</v>
      </c>
      <c r="C30" s="51" t="s">
        <v>76</v>
      </c>
      <c r="D30" s="17">
        <f>BS!C5</f>
        <v>1194.4190000000001</v>
      </c>
      <c r="E30" s="17">
        <f>BS!D5</f>
        <v>1781.721</v>
      </c>
      <c r="F30" s="17">
        <f>BS!E5</f>
        <v>1251.248</v>
      </c>
      <c r="G30" s="17">
        <f>BS!F5</f>
        <v>1365.9369999999999</v>
      </c>
      <c r="H30" s="17">
        <f>BS!G5</f>
        <v>3074.2190000000001</v>
      </c>
      <c r="J30" s="17">
        <f>BS!I5</f>
        <v>150.322</v>
      </c>
      <c r="K30" s="17"/>
      <c r="L30" s="17">
        <f>BS!K5</f>
        <v>695.97699999999998</v>
      </c>
      <c r="M30" s="17"/>
    </row>
    <row r="31" spans="2:13">
      <c r="B31" s="29" t="s">
        <v>29</v>
      </c>
      <c r="C31" s="51" t="s">
        <v>76</v>
      </c>
      <c r="D31" s="17">
        <f>BS!C58</f>
        <v>0</v>
      </c>
      <c r="E31" s="17">
        <f>BS!D58</f>
        <v>74.867000000000004</v>
      </c>
      <c r="F31" s="17">
        <f>BS!E58</f>
        <v>68.5</v>
      </c>
      <c r="G31" s="17">
        <f>BS!F58</f>
        <v>74.572000000000003</v>
      </c>
      <c r="H31" s="17">
        <f>BS!G58</f>
        <v>72.5</v>
      </c>
      <c r="J31" s="17">
        <f>BS!I58</f>
        <v>68.5</v>
      </c>
      <c r="K31" s="17"/>
      <c r="L31" s="17">
        <f>BS!K58</f>
        <v>72.5</v>
      </c>
      <c r="M31" s="17"/>
    </row>
    <row r="32" spans="2:13">
      <c r="B32" s="29" t="str">
        <f>BS!B61</f>
        <v>Долгосрочные кредиты и займы, полученные от связанных сторон</v>
      </c>
      <c r="C32" s="51" t="s">
        <v>76</v>
      </c>
      <c r="D32" s="17">
        <f>BS!C61</f>
        <v>8</v>
      </c>
      <c r="E32" s="17">
        <f>BS!D61</f>
        <v>8</v>
      </c>
      <c r="F32" s="17">
        <f>BS!E61</f>
        <v>0</v>
      </c>
      <c r="G32" s="17">
        <f>BS!F61</f>
        <v>2.66</v>
      </c>
      <c r="H32" s="17">
        <f>BS!G61</f>
        <v>0</v>
      </c>
      <c r="J32" s="17">
        <f>BS!I61</f>
        <v>0</v>
      </c>
      <c r="K32" s="17"/>
      <c r="L32" s="17">
        <f>BS!K61</f>
        <v>0</v>
      </c>
      <c r="M32" s="17"/>
    </row>
    <row r="33" spans="2:13">
      <c r="B33" s="29" t="s">
        <v>95</v>
      </c>
      <c r="C33" s="51" t="s">
        <v>76</v>
      </c>
      <c r="D33" s="17">
        <f>BS!C62</f>
        <v>132.68299999999999</v>
      </c>
      <c r="E33" s="17">
        <f>BS!D62</f>
        <v>131.923</v>
      </c>
      <c r="F33" s="17">
        <f>BS!E62</f>
        <v>119.776</v>
      </c>
      <c r="G33" s="17">
        <f>BS!F62</f>
        <v>123.431</v>
      </c>
      <c r="H33" s="17">
        <f>BS!G62</f>
        <v>128.75299999999999</v>
      </c>
      <c r="J33" s="17">
        <f>BS!I62</f>
        <v>129.20099999999999</v>
      </c>
      <c r="K33" s="17"/>
      <c r="L33" s="17">
        <f>BS!K62</f>
        <v>112.672</v>
      </c>
      <c r="M33" s="17"/>
    </row>
    <row r="34" spans="2:13">
      <c r="B34" s="29" t="s">
        <v>20</v>
      </c>
      <c r="C34" s="51" t="s">
        <v>76</v>
      </c>
      <c r="D34" s="17">
        <f>BS!C44</f>
        <v>1.97</v>
      </c>
      <c r="E34" s="17">
        <f>BS!D44</f>
        <v>11</v>
      </c>
      <c r="F34" s="17">
        <f>BS!E44</f>
        <v>1.75</v>
      </c>
      <c r="G34" s="17">
        <f>BS!F44</f>
        <v>0</v>
      </c>
      <c r="H34" s="17">
        <f>BS!G44</f>
        <v>0</v>
      </c>
      <c r="J34" s="17">
        <f>BS!I44</f>
        <v>1.19</v>
      </c>
      <c r="K34" s="17"/>
      <c r="L34" s="17">
        <f>BS!K44</f>
        <v>0</v>
      </c>
      <c r="M34" s="17"/>
    </row>
    <row r="35" spans="2:13">
      <c r="B35" s="29" t="str">
        <f>BS!B45</f>
        <v>Краткосрочные кредиты и займы, полученные от связанных сторон</v>
      </c>
      <c r="C35" s="51" t="s">
        <v>76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J35" s="17">
        <f>BS!I45</f>
        <v>101.46299999999999</v>
      </c>
      <c r="K35" s="17"/>
      <c r="L35" s="38">
        <v>0</v>
      </c>
      <c r="M35" s="38"/>
    </row>
    <row r="36" spans="2:13">
      <c r="B36" s="29" t="str">
        <f>BS!B46</f>
        <v>Краткосрочные обязательства по правам аренды</v>
      </c>
      <c r="C36" s="51" t="s">
        <v>76</v>
      </c>
      <c r="D36" s="17">
        <f>BS!C46</f>
        <v>5.3390000000000004</v>
      </c>
      <c r="E36" s="17">
        <f>BS!D46</f>
        <v>12.871</v>
      </c>
      <c r="F36" s="17">
        <f>BS!E46</f>
        <v>14.837999999999999</v>
      </c>
      <c r="G36" s="17">
        <f>BS!F46</f>
        <v>14.237</v>
      </c>
      <c r="H36" s="17">
        <f>BS!G46</f>
        <v>28.956</v>
      </c>
      <c r="J36" s="17">
        <f>BS!I46</f>
        <v>16.774000000000001</v>
      </c>
      <c r="K36" s="17"/>
      <c r="L36" s="17">
        <f>BS!K46</f>
        <v>13.595000000000001</v>
      </c>
      <c r="M36" s="17"/>
    </row>
    <row r="38" spans="2:13">
      <c r="B38" s="16" t="s">
        <v>92</v>
      </c>
      <c r="C38" s="56" t="s">
        <v>96</v>
      </c>
      <c r="D38" s="57">
        <f>D29/D23</f>
        <v>-1.5082632358791348</v>
      </c>
      <c r="E38" s="57">
        <f>E29/E23</f>
        <v>-1.7065736474574928</v>
      </c>
      <c r="F38" s="57">
        <f>F29/F23</f>
        <v>-0.62964592104875183</v>
      </c>
      <c r="G38" s="57">
        <f>G29/G23</f>
        <v>-0.59512365868816386</v>
      </c>
      <c r="H38" s="57">
        <f>H29/H23</f>
        <v>-0.92445409779740806</v>
      </c>
      <c r="J38" s="57">
        <f>J29/J23</f>
        <v>0.27744632155670396</v>
      </c>
      <c r="K38" s="57"/>
      <c r="L38" s="57">
        <f>L29/L23</f>
        <v>0.41755930910944578</v>
      </c>
    </row>
    <row r="40" spans="2:13">
      <c r="B40" s="18" t="s">
        <v>137</v>
      </c>
      <c r="C40" s="71" t="s">
        <v>96</v>
      </c>
      <c r="D40" s="72">
        <f>D29/D25</f>
        <v>-1.5082632358791348</v>
      </c>
      <c r="E40" s="72">
        <f>E29/E25</f>
        <v>-1.7065736474574928</v>
      </c>
      <c r="F40" s="72">
        <f>F29/F25</f>
        <v>-0.62964592104875183</v>
      </c>
      <c r="G40" s="72">
        <f>G29/G25</f>
        <v>-0.52499722914366143</v>
      </c>
      <c r="H40" s="72">
        <f>H29/H25</f>
        <v>-0.90110216701001788</v>
      </c>
      <c r="J40" s="72">
        <f>J29/J25</f>
        <v>0.27744632155670396</v>
      </c>
      <c r="K40" s="72"/>
      <c r="L40" s="72">
        <f>L29/L25</f>
        <v>0.43796205520923881</v>
      </c>
    </row>
    <row r="42" spans="2:13">
      <c r="B42" s="16" t="s">
        <v>100</v>
      </c>
      <c r="C42" s="52" t="s">
        <v>76</v>
      </c>
      <c r="D42" s="53">
        <f>SUM(D43:D44)</f>
        <v>344.04599999999982</v>
      </c>
      <c r="E42" s="53">
        <f>SUM(E43:E44)</f>
        <v>1052.7740000000006</v>
      </c>
      <c r="F42" s="53">
        <f>SUM(F43:F44)</f>
        <v>970.96499999999946</v>
      </c>
      <c r="G42" s="53">
        <f>SUM(G43:G44)</f>
        <v>1624.2049999999999</v>
      </c>
      <c r="H42" s="53">
        <f>SUM(H43:H44)</f>
        <v>2903.7050000000013</v>
      </c>
      <c r="J42" s="53">
        <f>SUM(J43:J44)</f>
        <v>363.74600000000004</v>
      </c>
      <c r="L42" s="53">
        <f>SUM(L43:L44)</f>
        <v>55.206999999999994</v>
      </c>
    </row>
    <row r="43" spans="2:13">
      <c r="B43" s="29" t="str">
        <f>CF!B34</f>
        <v>Чистые денежные средства, полученные от операционной деятельности</v>
      </c>
      <c r="C43" s="51" t="s">
        <v>76</v>
      </c>
      <c r="D43" s="17">
        <f>CF!C34</f>
        <v>385.9049999999998</v>
      </c>
      <c r="E43" s="17">
        <f>CF!D34</f>
        <v>1120.4770000000005</v>
      </c>
      <c r="F43" s="17">
        <f>CF!E34</f>
        <v>1115.2619999999995</v>
      </c>
      <c r="G43" s="17">
        <f>CF!F34</f>
        <v>1690.5329999999999</v>
      </c>
      <c r="H43" s="17">
        <f>CF!G34</f>
        <v>3276.4330000000014</v>
      </c>
      <c r="J43" s="17">
        <f>CF!I34</f>
        <v>391.28300000000002</v>
      </c>
      <c r="L43" s="17">
        <f>CF!K34</f>
        <v>392.36700000000002</v>
      </c>
    </row>
    <row r="44" spans="2:13">
      <c r="B44" s="29" t="str">
        <f>B26</f>
        <v>Капитализированные расходы</v>
      </c>
      <c r="C44" s="51" t="s">
        <v>76</v>
      </c>
      <c r="D44" s="54">
        <f>D26</f>
        <v>-41.859000000000002</v>
      </c>
      <c r="E44" s="54">
        <f>E26</f>
        <v>-67.703000000000003</v>
      </c>
      <c r="F44" s="54">
        <f>F26</f>
        <v>-144.297</v>
      </c>
      <c r="G44" s="54">
        <f>G26</f>
        <v>-66.328000000000003</v>
      </c>
      <c r="H44" s="54">
        <f>H26</f>
        <v>-372.72800000000001</v>
      </c>
      <c r="J44" s="54">
        <f>J26</f>
        <v>-27.536999999999999</v>
      </c>
      <c r="L44" s="54">
        <f>L26</f>
        <v>-337.16</v>
      </c>
    </row>
    <row r="46" spans="2:13">
      <c r="B46" s="19" t="s">
        <v>143</v>
      </c>
      <c r="C46" s="64" t="s">
        <v>76</v>
      </c>
      <c r="D46" s="65">
        <f>CF!C58</f>
        <v>-311.30500000000001</v>
      </c>
      <c r="E46" s="65">
        <f>CF!D58</f>
        <v>-545.40300000000002</v>
      </c>
      <c r="F46" s="65">
        <f>CF!E58</f>
        <v>-891.86199999999997</v>
      </c>
      <c r="G46" s="65">
        <f>CF!F58</f>
        <v>-1455.2090000000001</v>
      </c>
      <c r="H46" s="65">
        <f>CF!G58</f>
        <v>-717.42</v>
      </c>
      <c r="J46" s="65">
        <f>CF!I58</f>
        <v>-1455.2090000000001</v>
      </c>
      <c r="L46" s="65">
        <f>CF!K58</f>
        <v>-717.42100000000005</v>
      </c>
    </row>
    <row r="47" spans="2:13">
      <c r="C47" s="51"/>
      <c r="D47" s="17"/>
      <c r="E47" s="17"/>
      <c r="F47" s="17"/>
      <c r="G47" s="17"/>
      <c r="H47" s="17"/>
      <c r="J47" s="17"/>
      <c r="L47" s="17"/>
    </row>
    <row r="48" spans="2:13">
      <c r="C48" s="51"/>
      <c r="D48" s="17"/>
      <c r="E48" s="17"/>
      <c r="F48" s="17"/>
      <c r="G48" s="17"/>
      <c r="H48" s="17"/>
      <c r="J48" s="17"/>
      <c r="L48" s="17"/>
    </row>
    <row r="49" spans="2:12" ht="20.25">
      <c r="B49" s="60" t="s">
        <v>139</v>
      </c>
      <c r="C49" s="61"/>
      <c r="D49" s="62"/>
      <c r="E49" s="62"/>
      <c r="F49" s="62"/>
      <c r="G49" s="63"/>
      <c r="H49" s="63"/>
      <c r="J49" s="63"/>
      <c r="K49" s="63"/>
      <c r="L49" s="63"/>
    </row>
    <row r="51" spans="2:12">
      <c r="B51" s="11" t="s">
        <v>98</v>
      </c>
      <c r="C51" s="26" t="s">
        <v>99</v>
      </c>
      <c r="D51" s="11">
        <v>177</v>
      </c>
      <c r="E51" s="11">
        <v>334</v>
      </c>
      <c r="F51" s="11">
        <v>436</v>
      </c>
      <c r="G51" s="11">
        <v>632</v>
      </c>
      <c r="H51" s="84">
        <v>836</v>
      </c>
      <c r="J51" s="11">
        <v>514</v>
      </c>
      <c r="K51" s="11"/>
      <c r="L51" s="11">
        <v>726</v>
      </c>
    </row>
    <row r="52" spans="2:12">
      <c r="D52" s="9"/>
      <c r="E52" s="9"/>
      <c r="F5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Содержание</vt:lpstr>
      <vt:lpstr>PL</vt:lpstr>
      <vt:lpstr>BS</vt:lpstr>
      <vt:lpstr>CF</vt:lpstr>
      <vt:lpstr>Дополнительные метрики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ok-1372</dc:creator>
  <cp:lastModifiedBy>Ekaterina Bushueva</cp:lastModifiedBy>
  <dcterms:created xsi:type="dcterms:W3CDTF">2025-02-21T08:31:06Z</dcterms:created>
  <dcterms:modified xsi:type="dcterms:W3CDTF">2026-03-25T16:31:25Z</dcterms:modified>
</cp:coreProperties>
</file>